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activeTab="0"/>
  </bookViews>
  <sheets>
    <sheet name="NACIONAL" sheetId="1" r:id="rId1"/>
    <sheet name="Hist.Can.Fam.Bas." sheetId="2" state="hidden" r:id="rId2"/>
    <sheet name="Hist.Can.Fam.Pob.Vit." sheetId="3" state="hidden" r:id="rId3"/>
  </sheets>
  <definedNames>
    <definedName name="_xlnm.Print_Area" localSheetId="1">'Hist.Can.Fam.Bas.'!$A$30:$M$56</definedName>
  </definedNames>
  <calcPr fullCalcOnLoad="1"/>
</workbook>
</file>

<file path=xl/sharedStrings.xml><?xml version="1.0" encoding="utf-8"?>
<sst xmlns="http://schemas.openxmlformats.org/spreadsheetml/2006/main" count="213" uniqueCount="145">
  <si>
    <t xml:space="preserve"> </t>
  </si>
  <si>
    <t>ALIMENTOS Y BEBIDAS</t>
  </si>
  <si>
    <t>VIVIENDA</t>
  </si>
  <si>
    <t>INDUMENTARIA</t>
  </si>
  <si>
    <t>MISCELANEOS</t>
  </si>
  <si>
    <t>TOTAL</t>
  </si>
  <si>
    <t>Mensual</t>
  </si>
  <si>
    <t>*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</si>
  <si>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</si>
  <si>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</si>
  <si>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</si>
  <si>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</si>
  <si>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</si>
  <si>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</si>
  <si>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</si>
  <si>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</si>
  <si>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</si>
  <si>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</si>
  <si>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</si>
  <si>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</si>
  <si>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</si>
  <si>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</si>
  <si>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</si>
  <si>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</si>
  <si>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</si>
  <si>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</si>
  <si>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</si>
  <si>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</si>
  <si>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</si>
  <si>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</si>
  <si>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</si>
  <si>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</si>
  <si>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</si>
  <si>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</si>
  <si>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</si>
  <si>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</si>
  <si>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</si>
  <si>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</si>
  <si>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</si>
  <si>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</si>
  <si>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</si>
  <si>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</si>
  <si>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</si>
  <si>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</si>
  <si>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</si>
  <si>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</si>
  <si>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</si>
  <si>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</si>
  <si>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</si>
  <si>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</si>
  <si>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</si>
  <si>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</si>
  <si>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</si>
  <si>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</si>
  <si>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</si>
  <si>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</si>
  <si>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</si>
  <si>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</si>
  <si>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</si>
  <si>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</si>
  <si>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</si>
  <si>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</si>
  <si>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</si>
  <si>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</si>
  <si>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</si>
  <si>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</si>
  <si>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</si>
  <si>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</si>
  <si>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</si>
  <si>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</si>
  <si>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</si>
  <si>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</si>
  <si>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</si>
  <si>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</si>
  <si>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</si>
  <si>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</si>
  <si>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</si>
  <si>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</si>
  <si>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</si>
  <si>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</si>
  <si>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</si>
  <si>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Café, té y bebidas gaseosas</t>
  </si>
  <si>
    <t>Restricción</t>
  </si>
  <si>
    <t>en el consumo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</si>
  <si>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</si>
  <si>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Telas, hechuras y accesorios</t>
  </si>
  <si>
    <t>a</t>
  </si>
  <si>
    <t>Anual</t>
  </si>
  <si>
    <t>NACIONAL</t>
  </si>
  <si>
    <t>Dólares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</si>
  <si>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</si>
  <si>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</si>
  <si>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</si>
  <si>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</si>
  <si>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</si>
  <si>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</si>
  <si>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</si>
  <si>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</si>
  <si>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</si>
  <si>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</si>
  <si>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</si>
  <si>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</si>
  <si>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</si>
  <si>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</si>
  <si>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</si>
  <si>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</si>
  <si>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</si>
  <si>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</si>
  <si>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</si>
  <si>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</si>
  <si>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</si>
  <si>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</si>
  <si>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</si>
  <si>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</si>
  <si>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</si>
  <si>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</si>
  <si>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</si>
  <si>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</si>
  <si>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</si>
  <si>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</si>
  <si>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</si>
  <si>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</si>
  <si>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</si>
  <si>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</si>
  <si>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</si>
  <si>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</si>
  <si>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</si>
  <si>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</si>
  <si>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</si>
  <si>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</si>
  <si>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</si>
  <si>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</si>
  <si>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</si>
  <si>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</si>
  <si>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</si>
  <si>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</si>
  <si>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</si>
  <si>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</si>
  <si>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</si>
  <si>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</si>
  <si>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</si>
  <si>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</si>
  <si>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</si>
  <si>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JUNIO 2007</t>
  </si>
  <si>
    <t>May.2007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</si>
</sst>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CG Times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0" borderId="15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20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8" fillId="33" borderId="0" xfId="0" applyNumberFormat="1" applyFont="1" applyFill="1" applyAlignment="1">
      <alignment/>
    </xf>
    <xf numFmtId="2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8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0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center"/>
    </xf>
    <xf numFmtId="201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201" fontId="0" fillId="33" borderId="20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201" fontId="0" fillId="0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203" fontId="7" fillId="0" borderId="0" xfId="0" applyNumberFormat="1" applyFont="1" applyAlignment="1" applyProtection="1">
      <alignment/>
      <protection/>
    </xf>
    <xf numFmtId="203" fontId="8" fillId="33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/>
      <protection/>
    </xf>
    <xf numFmtId="203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102" t="s">
        <v>88</v>
      </c>
      <c r="B1" s="102"/>
      <c r="C1" s="102"/>
      <c r="D1" s="102"/>
      <c r="E1" s="102"/>
      <c r="F1" s="102"/>
      <c r="G1" s="102"/>
      <c r="H1" s="102"/>
    </row>
    <row r="2" spans="1:8" ht="18">
      <c r="A2" s="52"/>
      <c r="B2" s="52"/>
      <c r="C2" s="52"/>
      <c r="D2" s="52"/>
      <c r="E2" s="52"/>
      <c r="F2" s="52"/>
      <c r="G2" s="52"/>
      <c r="H2" s="52"/>
    </row>
    <row r="3" spans="1:9" ht="12.75">
      <c r="A3" s="108" t="s">
        <v>142</v>
      </c>
      <c r="B3" s="109"/>
      <c r="C3" s="109"/>
      <c r="D3" s="109"/>
      <c r="E3" s="109"/>
      <c r="F3" s="109"/>
      <c r="G3" s="109"/>
      <c r="H3" s="109"/>
      <c r="I3" s="4"/>
    </row>
    <row r="4" spans="1:9" ht="12.75">
      <c r="A4" s="110" t="s">
        <v>141</v>
      </c>
      <c r="B4" s="111"/>
      <c r="C4" s="111"/>
      <c r="D4" s="111"/>
      <c r="E4" s="111"/>
      <c r="F4" s="111"/>
      <c r="G4" s="111"/>
      <c r="H4" s="111"/>
      <c r="I4" s="4"/>
    </row>
    <row r="5" spans="1:9" ht="12.75">
      <c r="A5" s="53"/>
      <c r="B5" s="53"/>
      <c r="C5" s="53"/>
      <c r="D5" s="53"/>
      <c r="E5" s="53"/>
      <c r="F5" s="53"/>
      <c r="G5" s="53"/>
      <c r="H5" s="5"/>
      <c r="I5" s="4"/>
    </row>
    <row r="6" spans="1:9" ht="12.75">
      <c r="A6" s="6"/>
      <c r="B6" s="5"/>
      <c r="C6" s="5"/>
      <c r="D6" s="5"/>
      <c r="E6" s="5"/>
      <c r="F6" s="5"/>
      <c r="G6" s="5"/>
      <c r="H6" s="5"/>
      <c r="I6" s="4"/>
    </row>
    <row r="7" spans="1:9" ht="12.75">
      <c r="A7" s="6"/>
      <c r="B7" s="5"/>
      <c r="C7" s="5"/>
      <c r="D7" s="5"/>
      <c r="E7" s="5"/>
      <c r="F7" s="5"/>
      <c r="G7" s="5"/>
      <c r="H7" s="5"/>
      <c r="I7" s="4"/>
    </row>
    <row r="8" spans="1:9" ht="12.75">
      <c r="A8" s="6"/>
      <c r="B8" s="5"/>
      <c r="C8" s="5"/>
      <c r="D8" s="5"/>
      <c r="E8" s="5"/>
      <c r="F8" s="5"/>
      <c r="G8" s="5"/>
      <c r="I8" s="4"/>
    </row>
    <row r="9" spans="1:9" ht="12.75">
      <c r="A9" s="103" t="s">
        <v>8</v>
      </c>
      <c r="B9" s="103"/>
      <c r="C9" s="103"/>
      <c r="D9" s="103"/>
      <c r="E9" s="103"/>
      <c r="F9" s="103"/>
      <c r="G9" s="103"/>
      <c r="H9" s="103"/>
      <c r="I9" s="4"/>
    </row>
    <row r="10" ht="12.75">
      <c r="I10" s="4"/>
    </row>
    <row r="11" spans="1:9" ht="12.75">
      <c r="A11" s="104" t="s">
        <v>143</v>
      </c>
      <c r="B11" s="105"/>
      <c r="C11" s="105"/>
      <c r="D11" s="105"/>
      <c r="E11" s="105"/>
      <c r="F11" s="105"/>
      <c r="G11" s="105"/>
      <c r="H11" s="105"/>
      <c r="I11" s="4"/>
    </row>
    <row r="12" spans="1:9" ht="12.75">
      <c r="A12" s="8" t="s">
        <v>0</v>
      </c>
      <c r="B12" s="8" t="s">
        <v>0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9"/>
    </row>
    <row r="13" spans="1:9" ht="12.75">
      <c r="A13" s="19"/>
      <c r="B13" s="10"/>
      <c r="C13" s="106" t="s">
        <v>9</v>
      </c>
      <c r="D13" s="107"/>
      <c r="E13" s="50"/>
      <c r="F13" s="49"/>
      <c r="G13" s="33"/>
      <c r="H13" s="34"/>
      <c r="I13" s="9"/>
    </row>
    <row r="14" spans="1:9" ht="12.75">
      <c r="A14" s="20"/>
      <c r="B14" s="11" t="s">
        <v>12</v>
      </c>
      <c r="C14" s="100" t="s">
        <v>90</v>
      </c>
      <c r="D14" s="101"/>
      <c r="E14" s="12" t="s">
        <v>10</v>
      </c>
      <c r="F14" s="13" t="s">
        <v>11</v>
      </c>
      <c r="G14" s="35" t="s">
        <v>82</v>
      </c>
      <c r="H14" s="36"/>
      <c r="I14" s="9"/>
    </row>
    <row r="15" spans="1:9" ht="12.75">
      <c r="A15" s="20"/>
      <c r="B15" s="11" t="s">
        <v>15</v>
      </c>
      <c r="C15" s="13" t="s">
        <v>87</v>
      </c>
      <c r="D15" s="14" t="s">
        <v>6</v>
      </c>
      <c r="E15" s="12" t="s">
        <v>13</v>
      </c>
      <c r="F15" s="13" t="s">
        <v>14</v>
      </c>
      <c r="G15" s="35" t="s">
        <v>83</v>
      </c>
      <c r="H15" s="36"/>
      <c r="I15" s="9"/>
    </row>
    <row r="16" spans="1:9" ht="12.75">
      <c r="A16" s="20"/>
      <c r="B16" s="11" t="s">
        <v>19</v>
      </c>
      <c r="C16" s="14" t="s">
        <v>16</v>
      </c>
      <c r="D16" s="14" t="s">
        <v>16</v>
      </c>
      <c r="E16" s="12" t="s">
        <v>17</v>
      </c>
      <c r="F16" s="13" t="s">
        <v>18</v>
      </c>
      <c r="G16" s="37"/>
      <c r="H16" s="38"/>
      <c r="I16" s="9"/>
    </row>
    <row r="17" spans="1:9" ht="12.75">
      <c r="A17" s="21"/>
      <c r="B17" s="15"/>
      <c r="C17" s="14" t="s">
        <v>86</v>
      </c>
      <c r="D17" s="12" t="s">
        <v>86</v>
      </c>
      <c r="E17" s="39" t="s">
        <v>89</v>
      </c>
      <c r="F17" s="14" t="s">
        <v>13</v>
      </c>
      <c r="G17" s="5" t="s">
        <v>20</v>
      </c>
      <c r="H17" s="39" t="s">
        <v>21</v>
      </c>
      <c r="I17" s="9"/>
    </row>
    <row r="18" spans="1:9" ht="12.75">
      <c r="A18" s="22" t="s">
        <v>0</v>
      </c>
      <c r="B18" s="16" t="s">
        <v>0</v>
      </c>
      <c r="C18" s="48" t="s">
        <v>91</v>
      </c>
      <c r="D18" s="48" t="s">
        <v>144</v>
      </c>
      <c r="E18" s="17" t="s">
        <v>0</v>
      </c>
      <c r="F18" s="16" t="s">
        <v>0</v>
      </c>
      <c r="G18" s="51" t="s">
        <v>89</v>
      </c>
      <c r="H18" s="40" t="s">
        <v>22</v>
      </c>
      <c r="I18" s="9"/>
    </row>
    <row r="19" spans="1:9" ht="12.75">
      <c r="A19" s="7"/>
      <c r="B19" s="7"/>
      <c r="C19" s="18"/>
      <c r="D19" s="7"/>
      <c r="E19" s="7"/>
      <c r="F19" s="8" t="s">
        <v>0</v>
      </c>
      <c r="G19" s="7"/>
      <c r="H19" s="7"/>
      <c r="I19" s="9"/>
    </row>
    <row r="20" spans="1:9" ht="12.75">
      <c r="A20" s="32" t="s">
        <v>23</v>
      </c>
      <c r="B20" s="31" t="s">
        <v>5</v>
      </c>
      <c r="C20" s="43">
        <v>0.5488773765955468</v>
      </c>
      <c r="D20" s="43">
        <v>0.5488773765955468</v>
      </c>
      <c r="E20" s="54">
        <v>457.78829592193824</v>
      </c>
      <c r="F20" s="54">
        <v>317.34</v>
      </c>
      <c r="G20" s="54">
        <v>140.44829592193827</v>
      </c>
      <c r="H20" s="43">
        <v>30.67974807855014</v>
      </c>
      <c r="I20" s="9"/>
    </row>
    <row r="21" spans="1:9" ht="12.75">
      <c r="A21" s="24"/>
      <c r="B21" s="7"/>
      <c r="C21" s="41"/>
      <c r="D21" s="92"/>
      <c r="E21" s="55"/>
      <c r="F21" s="56"/>
      <c r="G21" s="56"/>
      <c r="H21" s="42"/>
      <c r="I21" s="9"/>
    </row>
    <row r="22" spans="1:9" ht="12.75">
      <c r="A22" s="32" t="s">
        <v>24</v>
      </c>
      <c r="B22" s="31" t="s">
        <v>1</v>
      </c>
      <c r="C22" s="43">
        <v>1.2195124390609324</v>
      </c>
      <c r="D22" s="93">
        <v>1.2195124390609324</v>
      </c>
      <c r="E22" s="58">
        <v>144.03046800627163</v>
      </c>
      <c r="F22" s="54">
        <v>71.43390734380353</v>
      </c>
      <c r="G22" s="54">
        <v>72.59656066246811</v>
      </c>
      <c r="H22" s="43">
        <v>15.858107625112202</v>
      </c>
      <c r="I22" s="9"/>
    </row>
    <row r="23" spans="1:9" ht="12.75">
      <c r="A23" s="25" t="s">
        <v>25</v>
      </c>
      <c r="B23" s="26" t="s">
        <v>26</v>
      </c>
      <c r="C23" s="42">
        <v>0.3603439417270371</v>
      </c>
      <c r="D23" s="92">
        <v>0.3603439417270371</v>
      </c>
      <c r="E23" s="55">
        <v>26.727029173381265</v>
      </c>
      <c r="F23" s="56">
        <v>21.46774691077782</v>
      </c>
      <c r="G23" s="56">
        <v>5.259282262603445</v>
      </c>
      <c r="H23" s="42">
        <v>1.148845942426683</v>
      </c>
      <c r="I23" s="9"/>
    </row>
    <row r="24" spans="1:9" ht="12.75">
      <c r="A24" s="25" t="s">
        <v>27</v>
      </c>
      <c r="B24" s="27" t="s">
        <v>28</v>
      </c>
      <c r="C24" s="42">
        <v>0.3629337565235202</v>
      </c>
      <c r="D24" s="92">
        <v>0.3629337565235202</v>
      </c>
      <c r="E24" s="55">
        <v>23.515841570508982</v>
      </c>
      <c r="F24" s="56">
        <v>9.740235229843385</v>
      </c>
      <c r="G24" s="56">
        <v>13.775606340665597</v>
      </c>
      <c r="H24" s="42">
        <v>3.0091652546343393</v>
      </c>
      <c r="I24" s="9"/>
    </row>
    <row r="25" spans="1:9" ht="12.75">
      <c r="A25" s="25" t="s">
        <v>29</v>
      </c>
      <c r="B25" s="27" t="s">
        <v>30</v>
      </c>
      <c r="C25" s="42">
        <v>-3.351418683544072</v>
      </c>
      <c r="D25" s="92">
        <v>-3.351418683544072</v>
      </c>
      <c r="E25" s="55">
        <v>6.745999522148424</v>
      </c>
      <c r="F25" s="56">
        <v>0</v>
      </c>
      <c r="G25" s="56">
        <v>6.745999522148424</v>
      </c>
      <c r="H25" s="42">
        <v>1.4736068139450091</v>
      </c>
      <c r="I25" s="9"/>
    </row>
    <row r="26" spans="1:9" ht="12.75">
      <c r="A26" s="25" t="s">
        <v>31</v>
      </c>
      <c r="B26" s="27" t="s">
        <v>32</v>
      </c>
      <c r="C26" s="42">
        <v>0.17019765162629152</v>
      </c>
      <c r="D26" s="92">
        <v>0.17019765162629152</v>
      </c>
      <c r="E26" s="55">
        <v>4.992434299148186</v>
      </c>
      <c r="F26" s="56">
        <v>0</v>
      </c>
      <c r="G26" s="56">
        <v>4.992434299148186</v>
      </c>
      <c r="H26" s="42">
        <v>1.0905552508925418</v>
      </c>
      <c r="I26" s="9"/>
    </row>
    <row r="27" spans="1:9" ht="12.75">
      <c r="A27" s="25" t="s">
        <v>33</v>
      </c>
      <c r="B27" s="27" t="s">
        <v>34</v>
      </c>
      <c r="C27" s="42">
        <v>-0.37549810600863154</v>
      </c>
      <c r="D27" s="92">
        <v>-0.37549810600863154</v>
      </c>
      <c r="E27" s="55">
        <v>22.703031690255287</v>
      </c>
      <c r="F27" s="56">
        <v>16.543541075859693</v>
      </c>
      <c r="G27" s="56">
        <v>6.159490614395592</v>
      </c>
      <c r="H27" s="42">
        <v>1.3454888797432043</v>
      </c>
      <c r="I27" s="9"/>
    </row>
    <row r="28" spans="1:9" ht="12.75">
      <c r="A28" s="25" t="s">
        <v>35</v>
      </c>
      <c r="B28" s="27" t="s">
        <v>36</v>
      </c>
      <c r="C28" s="42">
        <v>13.275049766992609</v>
      </c>
      <c r="D28" s="92">
        <v>13.275049766992609</v>
      </c>
      <c r="E28" s="55">
        <v>11.482875895748187</v>
      </c>
      <c r="F28" s="56">
        <v>0.24170614610696717</v>
      </c>
      <c r="G28" s="56">
        <v>11.24116974964122</v>
      </c>
      <c r="H28" s="42">
        <v>2.4555389138996375</v>
      </c>
      <c r="I28" s="9"/>
    </row>
    <row r="29" spans="1:9" ht="12.75">
      <c r="A29" s="25" t="s">
        <v>37</v>
      </c>
      <c r="B29" s="27" t="s">
        <v>38</v>
      </c>
      <c r="C29" s="42">
        <v>3.9079290573250214</v>
      </c>
      <c r="D29" s="92">
        <v>3.9079290573250214</v>
      </c>
      <c r="E29" s="55">
        <v>9.345209183924762</v>
      </c>
      <c r="F29" s="56">
        <v>7.478877775364866</v>
      </c>
      <c r="G29" s="56">
        <v>1.8663314085598963</v>
      </c>
      <c r="H29" s="42">
        <v>0.40768438712512256</v>
      </c>
      <c r="I29" s="9"/>
    </row>
    <row r="30" spans="1:9" ht="12.75">
      <c r="A30" s="25" t="s">
        <v>39</v>
      </c>
      <c r="B30" s="27" t="s">
        <v>40</v>
      </c>
      <c r="C30" s="42">
        <v>-0.8384848941248246</v>
      </c>
      <c r="D30" s="92">
        <v>-0.8384848941248246</v>
      </c>
      <c r="E30" s="55">
        <v>3.011806338891425</v>
      </c>
      <c r="F30" s="56">
        <v>0</v>
      </c>
      <c r="G30" s="56">
        <v>3.011806338891425</v>
      </c>
      <c r="H30" s="42">
        <v>0.657903744093317</v>
      </c>
      <c r="I30" s="9"/>
    </row>
    <row r="31" spans="1:9" ht="12.75">
      <c r="A31" s="25" t="s">
        <v>41</v>
      </c>
      <c r="B31" s="27" t="s">
        <v>42</v>
      </c>
      <c r="C31" s="42">
        <v>2.651801711719881</v>
      </c>
      <c r="D31" s="92">
        <v>2.651801711719881</v>
      </c>
      <c r="E31" s="55">
        <v>7.228733220559424</v>
      </c>
      <c r="F31" s="56">
        <v>0</v>
      </c>
      <c r="G31" s="56">
        <v>7.228733220559424</v>
      </c>
      <c r="H31" s="42">
        <v>1.579055927151109</v>
      </c>
      <c r="I31" s="9"/>
    </row>
    <row r="32" spans="1:9" ht="12.75">
      <c r="A32" s="25" t="s">
        <v>43</v>
      </c>
      <c r="B32" s="27" t="s">
        <v>44</v>
      </c>
      <c r="C32" s="42">
        <v>-0.20623533183840026</v>
      </c>
      <c r="D32" s="92">
        <v>-0.20623533183840026</v>
      </c>
      <c r="E32" s="55">
        <v>7.147230516242487</v>
      </c>
      <c r="F32" s="56">
        <v>5.464233619610607</v>
      </c>
      <c r="G32" s="56">
        <v>1.6829968966318798</v>
      </c>
      <c r="H32" s="42">
        <v>0.36763650613707766</v>
      </c>
      <c r="I32" s="9"/>
    </row>
    <row r="33" spans="1:9" ht="12.75">
      <c r="A33" s="25" t="s">
        <v>45</v>
      </c>
      <c r="B33" s="27" t="s">
        <v>81</v>
      </c>
      <c r="C33" s="42">
        <v>0.11519192947453405</v>
      </c>
      <c r="D33" s="92">
        <v>0.11519192947453405</v>
      </c>
      <c r="E33" s="55">
        <v>5.5868513415769865</v>
      </c>
      <c r="F33" s="56">
        <v>0</v>
      </c>
      <c r="G33" s="56">
        <v>5.5868513415769865</v>
      </c>
      <c r="H33" s="42">
        <v>1.2204006505508505</v>
      </c>
      <c r="I33" s="9"/>
    </row>
    <row r="34" spans="1:9" ht="12.75">
      <c r="A34" s="25" t="s">
        <v>46</v>
      </c>
      <c r="B34" s="27" t="s">
        <v>47</v>
      </c>
      <c r="C34" s="42">
        <v>1.5515188821230819</v>
      </c>
      <c r="D34" s="92">
        <v>1.5515188821230819</v>
      </c>
      <c r="E34" s="55">
        <v>0.9953829223574802</v>
      </c>
      <c r="F34" s="56">
        <v>0</v>
      </c>
      <c r="G34" s="56">
        <v>0.9953829223574802</v>
      </c>
      <c r="H34" s="42">
        <v>0.217433021163829</v>
      </c>
      <c r="I34" s="9"/>
    </row>
    <row r="35" spans="1:9" ht="24">
      <c r="A35" s="25" t="s">
        <v>48</v>
      </c>
      <c r="B35" s="28" t="s">
        <v>49</v>
      </c>
      <c r="C35" s="42">
        <v>0</v>
      </c>
      <c r="D35" s="92">
        <v>0</v>
      </c>
      <c r="E35" s="55">
        <v>14.548042331528713</v>
      </c>
      <c r="F35" s="56">
        <v>10.497566586240142</v>
      </c>
      <c r="G35" s="56">
        <v>4.050475745288571</v>
      </c>
      <c r="H35" s="42">
        <v>0.8847923333494868</v>
      </c>
      <c r="I35" s="9"/>
    </row>
    <row r="36" spans="1:9" ht="12.75">
      <c r="A36" s="29"/>
      <c r="B36" s="30"/>
      <c r="C36" s="42"/>
      <c r="D36" s="92"/>
      <c r="E36" s="55"/>
      <c r="F36" s="56"/>
      <c r="G36" s="56"/>
      <c r="H36" s="42"/>
      <c r="I36" s="9"/>
    </row>
    <row r="37" spans="1:9" ht="12.75">
      <c r="A37" s="32" t="s">
        <v>50</v>
      </c>
      <c r="B37" s="31" t="s">
        <v>2</v>
      </c>
      <c r="C37" s="43">
        <v>0.5330827857190412</v>
      </c>
      <c r="D37" s="93">
        <v>0.5330827857190412</v>
      </c>
      <c r="E37" s="58">
        <v>138.9889442943417</v>
      </c>
      <c r="F37" s="54">
        <v>135.0464643010481</v>
      </c>
      <c r="G37" s="54">
        <v>3.942479993293598</v>
      </c>
      <c r="H37" s="43">
        <v>0.8612015703358801</v>
      </c>
      <c r="I37" s="9"/>
    </row>
    <row r="38" spans="1:9" ht="12.75">
      <c r="A38" s="25" t="s">
        <v>51</v>
      </c>
      <c r="B38" s="27" t="s">
        <v>52</v>
      </c>
      <c r="C38" s="42">
        <v>0.6687513201143691</v>
      </c>
      <c r="D38" s="92">
        <v>0.6687513201143691</v>
      </c>
      <c r="E38" s="55">
        <v>107.29708262278052</v>
      </c>
      <c r="F38" s="56">
        <v>107.29708262278052</v>
      </c>
      <c r="G38" s="57" t="s">
        <v>7</v>
      </c>
      <c r="H38" s="57" t="s">
        <v>7</v>
      </c>
      <c r="I38" s="9"/>
    </row>
    <row r="39" spans="1:9" ht="12.75">
      <c r="A39" s="25" t="s">
        <v>53</v>
      </c>
      <c r="B39" s="27" t="s">
        <v>54</v>
      </c>
      <c r="C39" s="42">
        <v>0.02351035283636449</v>
      </c>
      <c r="D39" s="92">
        <v>0.02351035283636449</v>
      </c>
      <c r="E39" s="55">
        <v>19.707850526580625</v>
      </c>
      <c r="F39" s="56">
        <v>19.707850526580625</v>
      </c>
      <c r="G39" s="57" t="s">
        <v>7</v>
      </c>
      <c r="H39" s="57" t="s">
        <v>7</v>
      </c>
      <c r="I39" s="9"/>
    </row>
    <row r="40" spans="1:9" ht="12.75">
      <c r="A40" s="25" t="s">
        <v>55</v>
      </c>
      <c r="B40" s="27" t="s">
        <v>56</v>
      </c>
      <c r="C40" s="42">
        <v>0.05229909873543104</v>
      </c>
      <c r="D40" s="92">
        <v>0.05229909873543104</v>
      </c>
      <c r="E40" s="55">
        <v>11.072514024009191</v>
      </c>
      <c r="F40" s="56">
        <v>8.041531151686964</v>
      </c>
      <c r="G40" s="56">
        <v>3.030982872322226</v>
      </c>
      <c r="H40" s="42">
        <v>0.6620926964107153</v>
      </c>
      <c r="I40" s="9"/>
    </row>
    <row r="41" spans="1:9" ht="12.75">
      <c r="A41" s="25" t="s">
        <v>57</v>
      </c>
      <c r="B41" s="27" t="s">
        <v>58</v>
      </c>
      <c r="C41" s="42">
        <v>1.536512537000978</v>
      </c>
      <c r="D41" s="92">
        <v>1.536512537000978</v>
      </c>
      <c r="E41" s="55">
        <v>0.9114971209713723</v>
      </c>
      <c r="F41" s="56">
        <v>0</v>
      </c>
      <c r="G41" s="56">
        <v>0.9114971209713723</v>
      </c>
      <c r="H41" s="42">
        <v>0.19910887392516474</v>
      </c>
      <c r="I41" s="9"/>
    </row>
    <row r="42" spans="1:9" ht="12.75">
      <c r="A42" s="29"/>
      <c r="B42" s="30"/>
      <c r="C42" s="42"/>
      <c r="D42" s="92"/>
      <c r="E42" s="55"/>
      <c r="F42" s="56"/>
      <c r="G42" s="56"/>
      <c r="H42" s="42"/>
      <c r="I42" s="9"/>
    </row>
    <row r="43" spans="1:9" ht="12.75">
      <c r="A43" s="32" t="s">
        <v>59</v>
      </c>
      <c r="B43" s="31" t="s">
        <v>3</v>
      </c>
      <c r="C43" s="43">
        <v>-1.1034820308363669</v>
      </c>
      <c r="D43" s="93">
        <v>-1.1034820308363669</v>
      </c>
      <c r="E43" s="58">
        <v>26.333857423369963</v>
      </c>
      <c r="F43" s="54">
        <v>0</v>
      </c>
      <c r="G43" s="54">
        <v>26.333857423369963</v>
      </c>
      <c r="H43" s="43">
        <v>5.752409499752784</v>
      </c>
      <c r="I43" s="9"/>
    </row>
    <row r="44" spans="1:9" ht="12.75">
      <c r="A44" s="25" t="s">
        <v>60</v>
      </c>
      <c r="B44" s="27" t="s">
        <v>85</v>
      </c>
      <c r="C44" s="42">
        <v>-0.19428557065036545</v>
      </c>
      <c r="D44" s="92">
        <v>-0.19428557065036545</v>
      </c>
      <c r="E44" s="55">
        <v>1.799585671436768</v>
      </c>
      <c r="F44" s="56">
        <v>0</v>
      </c>
      <c r="G44" s="56">
        <v>1.799585671436768</v>
      </c>
      <c r="H44" s="42">
        <v>0.39310434265528543</v>
      </c>
      <c r="I44" s="9"/>
    </row>
    <row r="45" spans="1:9" ht="12.75">
      <c r="A45" s="25" t="s">
        <v>61</v>
      </c>
      <c r="B45" s="27" t="s">
        <v>62</v>
      </c>
      <c r="C45" s="42">
        <v>-1.1439011169024127</v>
      </c>
      <c r="D45" s="92">
        <v>-1.1439011169024127</v>
      </c>
      <c r="E45" s="55">
        <v>12.967044103804994</v>
      </c>
      <c r="F45" s="56">
        <v>0</v>
      </c>
      <c r="G45" s="56">
        <v>12.967044103804994</v>
      </c>
      <c r="H45" s="42">
        <v>2.8325416397312453</v>
      </c>
      <c r="I45" s="9"/>
    </row>
    <row r="46" spans="1:9" ht="12.75">
      <c r="A46" s="25" t="s">
        <v>63</v>
      </c>
      <c r="B46" s="27" t="s">
        <v>64</v>
      </c>
      <c r="C46" s="42">
        <v>-1.4058119737661467</v>
      </c>
      <c r="D46" s="92">
        <v>-1.4058119737661467</v>
      </c>
      <c r="E46" s="55">
        <v>9.838440553919755</v>
      </c>
      <c r="F46" s="56">
        <v>0</v>
      </c>
      <c r="G46" s="56">
        <v>9.838440553919755</v>
      </c>
      <c r="H46" s="42">
        <v>2.149124527988675</v>
      </c>
      <c r="I46" s="9"/>
    </row>
    <row r="47" spans="1:9" ht="12.75">
      <c r="A47" s="25" t="s">
        <v>65</v>
      </c>
      <c r="B47" s="27" t="s">
        <v>66</v>
      </c>
      <c r="C47" s="42">
        <v>0</v>
      </c>
      <c r="D47" s="92">
        <v>0</v>
      </c>
      <c r="E47" s="55">
        <v>1.7287870942084447</v>
      </c>
      <c r="F47" s="56">
        <v>0</v>
      </c>
      <c r="G47" s="56">
        <v>1.7287870942084447</v>
      </c>
      <c r="H47" s="42">
        <v>0.3776389893775782</v>
      </c>
      <c r="I47" s="9"/>
    </row>
    <row r="48" spans="1:9" ht="12.75">
      <c r="A48" s="29"/>
      <c r="B48" s="30"/>
      <c r="C48" s="42"/>
      <c r="D48" s="92"/>
      <c r="E48" s="55"/>
      <c r="F48" s="56"/>
      <c r="G48" s="56"/>
      <c r="H48" s="42"/>
      <c r="I48" s="9"/>
    </row>
    <row r="49" spans="1:9" ht="12.75">
      <c r="A49" s="32" t="s">
        <v>67</v>
      </c>
      <c r="B49" s="31" t="s">
        <v>4</v>
      </c>
      <c r="C49" s="43">
        <v>0.2163915489906909</v>
      </c>
      <c r="D49" s="93">
        <v>0.2163915489906909</v>
      </c>
      <c r="E49" s="58">
        <v>148.43502619795493</v>
      </c>
      <c r="F49" s="54">
        <v>110.85962835514835</v>
      </c>
      <c r="G49" s="54">
        <v>37.57539784280659</v>
      </c>
      <c r="H49" s="43">
        <v>8.208029383349267</v>
      </c>
      <c r="I49" s="9"/>
    </row>
    <row r="50" spans="1:9" ht="12.75">
      <c r="A50" s="25" t="s">
        <v>68</v>
      </c>
      <c r="B50" s="27" t="s">
        <v>69</v>
      </c>
      <c r="C50" s="42">
        <v>0.2522852810798337</v>
      </c>
      <c r="D50" s="92">
        <v>0.2522852810798337</v>
      </c>
      <c r="E50" s="55">
        <v>76.94758776248997</v>
      </c>
      <c r="F50" s="56">
        <v>68.50003416259364</v>
      </c>
      <c r="G50" s="56">
        <v>8.44755359989634</v>
      </c>
      <c r="H50" s="42">
        <v>1.8452969800994672</v>
      </c>
      <c r="I50" s="9"/>
    </row>
    <row r="51" spans="1:9" ht="12.75">
      <c r="A51" s="25" t="s">
        <v>70</v>
      </c>
      <c r="B51" s="27" t="s">
        <v>71</v>
      </c>
      <c r="C51" s="42">
        <v>1.0317202247426493</v>
      </c>
      <c r="D51" s="92">
        <v>1.0317202247426493</v>
      </c>
      <c r="E51" s="55">
        <v>9.16995627616181</v>
      </c>
      <c r="F51" s="56">
        <v>0</v>
      </c>
      <c r="G51" s="56">
        <v>9.16995627616181</v>
      </c>
      <c r="H51" s="42">
        <v>2.0030997642031165</v>
      </c>
      <c r="I51" s="9"/>
    </row>
    <row r="52" spans="1:9" ht="12.75">
      <c r="A52" s="25" t="s">
        <v>72</v>
      </c>
      <c r="B52" s="27" t="s">
        <v>73</v>
      </c>
      <c r="C52" s="42">
        <v>0</v>
      </c>
      <c r="D52" s="92">
        <v>0</v>
      </c>
      <c r="E52" s="55">
        <v>16.131207130049688</v>
      </c>
      <c r="F52" s="56">
        <v>4.15443339356823</v>
      </c>
      <c r="G52" s="56">
        <v>11.976773736481459</v>
      </c>
      <c r="H52" s="42">
        <v>2.616225413181758</v>
      </c>
      <c r="I52" s="9"/>
    </row>
    <row r="53" spans="1:9" ht="12.75">
      <c r="A53" s="25" t="s">
        <v>74</v>
      </c>
      <c r="B53" s="27" t="s">
        <v>75</v>
      </c>
      <c r="C53" s="42">
        <v>0.413159324295842</v>
      </c>
      <c r="D53" s="92">
        <v>0.413159324295842</v>
      </c>
      <c r="E53" s="55">
        <v>8.94092719271899</v>
      </c>
      <c r="F53" s="56">
        <v>6.050600452967505</v>
      </c>
      <c r="G53" s="56">
        <v>2.8903267397514845</v>
      </c>
      <c r="H53" s="42">
        <v>0.6313675481656135</v>
      </c>
      <c r="I53" s="9"/>
    </row>
    <row r="54" spans="1:9" ht="12.75">
      <c r="A54" s="94" t="s">
        <v>76</v>
      </c>
      <c r="B54" s="95" t="s">
        <v>77</v>
      </c>
      <c r="C54" s="96">
        <v>-0.032151651085066124</v>
      </c>
      <c r="D54" s="97">
        <v>-0.032151651085066124</v>
      </c>
      <c r="E54" s="98">
        <v>11.075378600845236</v>
      </c>
      <c r="F54" s="99">
        <v>5.98459111032974</v>
      </c>
      <c r="G54" s="99">
        <v>5.0907874905154955</v>
      </c>
      <c r="H54" s="96">
        <v>1.1120396776993122</v>
      </c>
      <c r="I54" s="9"/>
    </row>
    <row r="55" spans="1:9" ht="12.75">
      <c r="A55" s="94" t="s">
        <v>78</v>
      </c>
      <c r="B55" s="95" t="s">
        <v>79</v>
      </c>
      <c r="C55" s="96">
        <v>0</v>
      </c>
      <c r="D55" s="97">
        <v>0</v>
      </c>
      <c r="E55" s="98">
        <v>26.169969235689216</v>
      </c>
      <c r="F55" s="99">
        <v>0</v>
      </c>
      <c r="G55" s="57" t="s">
        <v>7</v>
      </c>
      <c r="H55" s="57" t="s">
        <v>7</v>
      </c>
      <c r="I55" s="9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9"/>
    </row>
    <row r="57" ht="12.75">
      <c r="I57" s="9"/>
    </row>
    <row r="58" spans="1:9" ht="12.75">
      <c r="A58" s="44" t="s">
        <v>80</v>
      </c>
      <c r="B58" s="1"/>
      <c r="C58" s="2"/>
      <c r="D58" s="2"/>
      <c r="E58" s="3"/>
      <c r="F58" s="2"/>
      <c r="G58" s="2"/>
      <c r="H58" s="2"/>
      <c r="I58" s="9"/>
    </row>
    <row r="59" spans="1:9" ht="12.75">
      <c r="A59" s="45" t="s">
        <v>84</v>
      </c>
      <c r="B59" s="1"/>
      <c r="C59" s="1"/>
      <c r="D59" s="1"/>
      <c r="E59" s="1"/>
      <c r="F59" s="1"/>
      <c r="G59" s="1"/>
      <c r="H59" s="46"/>
      <c r="I59" s="9"/>
    </row>
    <row r="60" spans="1:9" ht="12.75">
      <c r="A60" s="1"/>
      <c r="B60" s="1"/>
      <c r="C60" s="47"/>
      <c r="D60" s="47"/>
      <c r="E60" s="47"/>
      <c r="F60" s="1"/>
      <c r="G60" s="1"/>
      <c r="H60" s="1"/>
      <c r="I60" s="9"/>
    </row>
    <row r="61" ht="12.75"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73"/>
      <c r="C2" s="119" t="s">
        <v>139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74" t="s">
        <v>94</v>
      </c>
      <c r="C4" s="74" t="s">
        <v>95</v>
      </c>
      <c r="D4" s="74" t="s">
        <v>96</v>
      </c>
      <c r="E4" s="74" t="s">
        <v>97</v>
      </c>
      <c r="F4" s="74" t="s">
        <v>98</v>
      </c>
      <c r="G4" s="74" t="s">
        <v>99</v>
      </c>
      <c r="H4" s="74" t="s">
        <v>100</v>
      </c>
      <c r="I4" s="74" t="s">
        <v>101</v>
      </c>
      <c r="J4" s="74" t="s">
        <v>103</v>
      </c>
      <c r="K4" s="74" t="s">
        <v>102</v>
      </c>
      <c r="L4" s="74" t="s">
        <v>104</v>
      </c>
      <c r="M4" s="74" t="s">
        <v>105</v>
      </c>
    </row>
    <row r="5" spans="1:13" ht="12.75">
      <c r="A5" s="2" t="s">
        <v>93</v>
      </c>
      <c r="B5" s="61"/>
      <c r="C5" s="61"/>
      <c r="D5" s="61"/>
      <c r="E5" s="61"/>
      <c r="F5" s="61"/>
      <c r="J5" s="61"/>
      <c r="K5" s="61"/>
      <c r="L5" s="61"/>
      <c r="M5" s="61"/>
    </row>
    <row r="6" spans="1:13" ht="12.75">
      <c r="A6">
        <v>1982</v>
      </c>
      <c r="B6" s="83"/>
      <c r="C6" s="83"/>
      <c r="D6" s="83"/>
      <c r="E6" s="83"/>
      <c r="F6" s="83"/>
      <c r="G6" s="66"/>
      <c r="H6" s="66"/>
      <c r="I6" s="66"/>
      <c r="J6" s="83"/>
      <c r="K6" s="83"/>
      <c r="L6" s="75">
        <v>10.758</v>
      </c>
      <c r="M6" s="75"/>
    </row>
    <row r="7" spans="1:13" ht="12.75">
      <c r="A7">
        <v>1983</v>
      </c>
      <c r="B7" s="75"/>
      <c r="C7" s="75"/>
      <c r="D7" s="75"/>
      <c r="E7" s="75"/>
      <c r="F7" s="75"/>
      <c r="G7" s="76"/>
      <c r="H7" s="76">
        <v>15.965</v>
      </c>
      <c r="I7" s="76"/>
      <c r="J7" s="75"/>
      <c r="K7" s="75"/>
      <c r="L7" s="75"/>
      <c r="M7" s="75"/>
    </row>
    <row r="8" spans="1:13" ht="12.75">
      <c r="A8">
        <v>1984</v>
      </c>
      <c r="B8" s="75">
        <v>17.757</v>
      </c>
      <c r="C8" s="75"/>
      <c r="D8" s="75">
        <v>22.932</v>
      </c>
      <c r="E8" s="75"/>
      <c r="F8" s="75"/>
      <c r="G8" s="76"/>
      <c r="H8" s="76"/>
      <c r="I8" s="76"/>
      <c r="J8" s="75"/>
      <c r="K8" s="75"/>
      <c r="L8" s="75"/>
      <c r="M8" s="75"/>
    </row>
    <row r="9" spans="1:13" ht="12.75">
      <c r="A9">
        <v>1985</v>
      </c>
      <c r="B9" s="75"/>
      <c r="C9" s="75"/>
      <c r="D9" s="75"/>
      <c r="E9" s="75"/>
      <c r="F9" s="75"/>
      <c r="G9" s="76"/>
      <c r="H9" s="76"/>
      <c r="I9" s="76"/>
      <c r="J9" s="75"/>
      <c r="K9" s="75"/>
      <c r="L9" s="75"/>
      <c r="M9" s="75"/>
    </row>
    <row r="10" spans="1:13" ht="12.75">
      <c r="A10">
        <v>1986</v>
      </c>
      <c r="B10" s="75">
        <v>26.616</v>
      </c>
      <c r="C10" s="75"/>
      <c r="D10" s="75"/>
      <c r="E10" s="75"/>
      <c r="F10" s="75"/>
      <c r="G10" s="76"/>
      <c r="H10" s="76"/>
      <c r="I10" s="75">
        <v>29.64</v>
      </c>
      <c r="J10" s="75"/>
      <c r="K10" s="75"/>
      <c r="L10" s="75"/>
      <c r="M10" s="75"/>
    </row>
    <row r="11" spans="1:13" ht="12.75">
      <c r="A11">
        <v>1987</v>
      </c>
      <c r="B11" s="75"/>
      <c r="C11" s="75"/>
      <c r="D11" s="75"/>
      <c r="E11" s="75"/>
      <c r="F11" s="75"/>
      <c r="G11" s="76"/>
      <c r="H11" s="75">
        <v>37.667</v>
      </c>
      <c r="I11" s="75"/>
      <c r="J11" s="75"/>
      <c r="K11" s="75"/>
      <c r="L11" s="75"/>
      <c r="M11" s="75"/>
    </row>
    <row r="12" spans="1:13" ht="12.75">
      <c r="A12">
        <v>1988</v>
      </c>
      <c r="B12" s="75"/>
      <c r="C12" s="75"/>
      <c r="D12" s="75"/>
      <c r="E12" s="75"/>
      <c r="F12" s="75"/>
      <c r="G12" s="76">
        <v>59.354</v>
      </c>
      <c r="H12" s="75"/>
      <c r="I12" s="75"/>
      <c r="J12" s="75">
        <v>70.169</v>
      </c>
      <c r="K12" s="75"/>
      <c r="L12" s="75"/>
      <c r="M12" s="75"/>
    </row>
    <row r="13" spans="1:13" ht="12.75">
      <c r="A13">
        <v>1989</v>
      </c>
      <c r="B13" s="75"/>
      <c r="C13" s="75"/>
      <c r="D13" s="75"/>
      <c r="E13" s="75"/>
      <c r="F13" s="75">
        <v>104.177</v>
      </c>
      <c r="G13" s="76"/>
      <c r="H13" s="75"/>
      <c r="I13" s="75"/>
      <c r="J13" s="75"/>
      <c r="K13" s="75"/>
      <c r="L13" s="75">
        <v>124.785</v>
      </c>
      <c r="M13" s="75"/>
    </row>
    <row r="14" spans="1:13" ht="12.75">
      <c r="A14">
        <v>1990</v>
      </c>
      <c r="B14" s="75"/>
      <c r="C14" s="75"/>
      <c r="D14" s="75"/>
      <c r="E14" s="75"/>
      <c r="F14" s="75"/>
      <c r="G14" s="76"/>
      <c r="H14" s="75"/>
      <c r="I14" s="75"/>
      <c r="J14" s="75"/>
      <c r="K14" s="75">
        <v>173.107</v>
      </c>
      <c r="L14" s="75">
        <v>179.071</v>
      </c>
      <c r="M14" s="75">
        <v>183.773</v>
      </c>
    </row>
    <row r="15" spans="1:13" ht="12.75">
      <c r="A15">
        <v>1991</v>
      </c>
      <c r="B15" s="75">
        <v>193.596</v>
      </c>
      <c r="C15" s="75">
        <v>201.455</v>
      </c>
      <c r="D15" s="75">
        <v>208.823</v>
      </c>
      <c r="E15" s="75">
        <v>214.928</v>
      </c>
      <c r="F15" s="75">
        <v>223.769</v>
      </c>
      <c r="G15" s="76">
        <v>230.786</v>
      </c>
      <c r="H15" s="75">
        <v>236.399</v>
      </c>
      <c r="I15" s="75">
        <v>242.223</v>
      </c>
      <c r="J15" s="75">
        <v>251.135</v>
      </c>
      <c r="K15" s="75">
        <v>258.362</v>
      </c>
      <c r="L15" s="75">
        <v>264.467</v>
      </c>
      <c r="M15" s="75">
        <v>276.536</v>
      </c>
    </row>
    <row r="16" spans="1:13" ht="12.75">
      <c r="A16">
        <v>1992</v>
      </c>
      <c r="B16" s="75">
        <v>289.868</v>
      </c>
      <c r="C16" s="75">
        <v>300.113</v>
      </c>
      <c r="D16" s="75">
        <v>309.586</v>
      </c>
      <c r="E16" s="75">
        <v>325.865</v>
      </c>
      <c r="F16" s="75">
        <v>338.425</v>
      </c>
      <c r="G16" s="76">
        <v>350.915</v>
      </c>
      <c r="H16" s="75">
        <v>362.212</v>
      </c>
      <c r="I16" s="75">
        <v>378.842</v>
      </c>
      <c r="J16" s="75"/>
      <c r="K16" s="75"/>
      <c r="L16" s="75"/>
      <c r="M16" s="75"/>
    </row>
    <row r="17" spans="1:13" ht="12.75">
      <c r="A17">
        <v>1993</v>
      </c>
      <c r="B17" s="75"/>
      <c r="C17" s="75"/>
      <c r="D17" s="75"/>
      <c r="E17" s="75"/>
      <c r="F17" s="75"/>
      <c r="G17" s="76">
        <v>557.58</v>
      </c>
      <c r="H17" s="75">
        <v>566.808</v>
      </c>
      <c r="I17" s="75">
        <v>575.597</v>
      </c>
      <c r="J17" s="75">
        <v>588.754</v>
      </c>
      <c r="K17" s="75">
        <v>603.732</v>
      </c>
      <c r="L17" s="75">
        <v>613.14</v>
      </c>
      <c r="M17" s="75">
        <v>617.923</v>
      </c>
    </row>
    <row r="18" spans="1:13" ht="12.75">
      <c r="A18">
        <v>1994</v>
      </c>
      <c r="B18" s="75">
        <v>657.9</v>
      </c>
      <c r="C18" s="75">
        <v>679.466</v>
      </c>
      <c r="D18" s="75">
        <v>701.925</v>
      </c>
      <c r="E18" s="75">
        <v>719.981</v>
      </c>
      <c r="F18" s="75">
        <v>731.723</v>
      </c>
      <c r="G18" s="76">
        <v>744.57</v>
      </c>
      <c r="H18" s="75">
        <v>754.187</v>
      </c>
      <c r="I18" s="75">
        <v>765.234</v>
      </c>
      <c r="J18" s="75">
        <v>777.623</v>
      </c>
      <c r="K18" s="75">
        <v>791.71</v>
      </c>
      <c r="L18" s="75">
        <v>807.4</v>
      </c>
      <c r="M18" s="75">
        <v>831.727</v>
      </c>
    </row>
    <row r="19" spans="1:13" ht="12.75">
      <c r="A19">
        <v>1995</v>
      </c>
      <c r="B19" s="75">
        <v>858.832</v>
      </c>
      <c r="C19" s="75">
        <v>876.887</v>
      </c>
      <c r="D19" s="75">
        <v>893.171</v>
      </c>
      <c r="E19" s="75">
        <v>908.054</v>
      </c>
      <c r="F19" s="75">
        <v>924.438</v>
      </c>
      <c r="G19" s="75">
        <v>939.524</v>
      </c>
      <c r="H19" s="75">
        <v>951.695</v>
      </c>
      <c r="I19" s="75">
        <v>964.457</v>
      </c>
      <c r="J19" s="75">
        <v>995.604</v>
      </c>
      <c r="K19" s="80" t="s">
        <v>106</v>
      </c>
      <c r="L19" s="76" t="s">
        <v>107</v>
      </c>
      <c r="M19" s="76" t="s">
        <v>108</v>
      </c>
    </row>
    <row r="20" spans="1:13" ht="12.75">
      <c r="A20">
        <v>1996</v>
      </c>
      <c r="B20" s="81" t="s">
        <v>109</v>
      </c>
      <c r="C20" s="81" t="s">
        <v>110</v>
      </c>
      <c r="D20" s="81" t="s">
        <v>111</v>
      </c>
      <c r="E20" s="81" t="s">
        <v>112</v>
      </c>
      <c r="F20" s="81" t="s">
        <v>113</v>
      </c>
      <c r="G20" s="81" t="s">
        <v>114</v>
      </c>
      <c r="H20" s="81" t="s">
        <v>115</v>
      </c>
      <c r="I20" s="81" t="s">
        <v>116</v>
      </c>
      <c r="J20" s="81" t="s">
        <v>117</v>
      </c>
      <c r="K20" s="81" t="s">
        <v>118</v>
      </c>
      <c r="L20" s="81" t="s">
        <v>119</v>
      </c>
      <c r="M20" s="81" t="s">
        <v>120</v>
      </c>
    </row>
    <row r="21" spans="1:13" ht="12.75">
      <c r="A21">
        <v>1997</v>
      </c>
      <c r="B21" s="81" t="s">
        <v>121</v>
      </c>
      <c r="C21" s="81" t="s">
        <v>122</v>
      </c>
      <c r="D21" s="81" t="s">
        <v>123</v>
      </c>
      <c r="E21" s="81" t="s">
        <v>124</v>
      </c>
      <c r="F21" s="81" t="s">
        <v>125</v>
      </c>
      <c r="G21" s="81" t="s">
        <v>126</v>
      </c>
      <c r="H21" s="81" t="s">
        <v>127</v>
      </c>
      <c r="I21" s="81" t="s">
        <v>128</v>
      </c>
      <c r="J21" s="81" t="s">
        <v>129</v>
      </c>
      <c r="K21" s="81" t="s">
        <v>130</v>
      </c>
      <c r="L21" s="81" t="s">
        <v>131</v>
      </c>
      <c r="M21" s="81" t="s">
        <v>132</v>
      </c>
    </row>
    <row r="22" spans="1:13" ht="12.75">
      <c r="A22">
        <v>1998</v>
      </c>
      <c r="B22" s="82">
        <v>1807926</v>
      </c>
      <c r="C22" s="79">
        <v>1843036</v>
      </c>
      <c r="D22" s="79">
        <v>1886602</v>
      </c>
      <c r="E22" s="79">
        <v>1969965</v>
      </c>
      <c r="F22" s="79">
        <v>2004412</v>
      </c>
      <c r="G22" s="79">
        <v>2071303</v>
      </c>
      <c r="H22" s="79">
        <v>2103799</v>
      </c>
      <c r="I22" s="79">
        <v>2140723</v>
      </c>
      <c r="J22" s="79">
        <v>2223761</v>
      </c>
      <c r="K22" s="79">
        <v>2347114</v>
      </c>
      <c r="L22" s="79">
        <v>2404727</v>
      </c>
      <c r="M22" s="79">
        <v>2435098</v>
      </c>
    </row>
    <row r="23" spans="1:13" ht="12.75">
      <c r="A23">
        <v>1999</v>
      </c>
      <c r="B23" s="79">
        <v>2512250</v>
      </c>
      <c r="C23" s="79">
        <v>2603742</v>
      </c>
      <c r="D23" s="79">
        <v>2875117</v>
      </c>
      <c r="E23" s="79">
        <v>3122004</v>
      </c>
      <c r="F23" s="79">
        <v>3168974</v>
      </c>
      <c r="G23" s="79">
        <v>3204801</v>
      </c>
      <c r="H23" s="79">
        <v>3279856</v>
      </c>
      <c r="I23" s="79">
        <v>3307825</v>
      </c>
      <c r="J23" s="79">
        <v>3360077</v>
      </c>
      <c r="K23" s="79">
        <v>3479926</v>
      </c>
      <c r="L23" s="79">
        <v>3722291</v>
      </c>
      <c r="M23" s="79">
        <v>3990099</v>
      </c>
    </row>
    <row r="24" spans="1:13" ht="12.75">
      <c r="A24">
        <v>2000</v>
      </c>
      <c r="B24" s="79">
        <v>4468727</v>
      </c>
      <c r="C24" s="79">
        <v>4915933</v>
      </c>
      <c r="D24" s="79">
        <v>5420781</v>
      </c>
      <c r="E24" s="79">
        <v>6130488</v>
      </c>
      <c r="F24" s="79">
        <v>6518454</v>
      </c>
      <c r="G24" s="65">
        <v>274.76</v>
      </c>
      <c r="H24" s="65">
        <v>226.39</v>
      </c>
      <c r="I24" s="65">
        <v>229.46</v>
      </c>
      <c r="J24" s="71">
        <v>238.25661316067703</v>
      </c>
      <c r="K24" s="65">
        <v>244.17</v>
      </c>
      <c r="L24" s="65">
        <v>248.1</v>
      </c>
      <c r="M24" s="66">
        <v>252.93</v>
      </c>
    </row>
    <row r="25" spans="1:13" ht="12.75">
      <c r="A25">
        <v>2001</v>
      </c>
      <c r="B25" s="66">
        <v>269.77</v>
      </c>
      <c r="C25" s="66">
        <v>278.02</v>
      </c>
      <c r="D25" s="65">
        <v>284.25</v>
      </c>
      <c r="E25" s="65">
        <v>288.45</v>
      </c>
      <c r="F25" s="65">
        <v>287.77</v>
      </c>
      <c r="G25" s="65">
        <v>288.79</v>
      </c>
      <c r="H25" s="65">
        <v>290.66</v>
      </c>
      <c r="I25" s="65">
        <v>292.97</v>
      </c>
      <c r="J25" s="65">
        <v>299.42</v>
      </c>
      <c r="K25" s="65">
        <v>304.06</v>
      </c>
      <c r="L25" s="65">
        <v>310.21</v>
      </c>
      <c r="M25" s="65">
        <v>313.56</v>
      </c>
    </row>
    <row r="26" spans="1:13" ht="12.75">
      <c r="A26">
        <v>2002</v>
      </c>
      <c r="B26" s="65">
        <v>319.15</v>
      </c>
      <c r="C26" s="65">
        <v>323.18</v>
      </c>
      <c r="D26" s="65">
        <v>327.34</v>
      </c>
      <c r="E26" s="65">
        <v>330.31</v>
      </c>
      <c r="F26" s="65">
        <v>333.32</v>
      </c>
      <c r="G26" s="65">
        <v>334.05</v>
      </c>
      <c r="H26" s="65">
        <v>336.29</v>
      </c>
      <c r="I26" s="65">
        <v>339.91</v>
      </c>
      <c r="J26" s="65">
        <v>341.22</v>
      </c>
      <c r="K26" s="65">
        <v>346.14</v>
      </c>
      <c r="L26" s="65">
        <v>351.47</v>
      </c>
      <c r="M26" s="65">
        <v>353.24</v>
      </c>
    </row>
    <row r="27" spans="1:13" ht="12.75">
      <c r="A27">
        <v>2003</v>
      </c>
      <c r="B27" s="65">
        <v>361.75</v>
      </c>
      <c r="C27" s="65">
        <v>362</v>
      </c>
      <c r="D27" s="65">
        <v>363.79</v>
      </c>
      <c r="E27" s="65">
        <v>366.59</v>
      </c>
      <c r="F27" s="65">
        <v>368.72</v>
      </c>
      <c r="G27" s="65">
        <v>369.95</v>
      </c>
      <c r="H27" s="65">
        <v>371.11</v>
      </c>
      <c r="I27" s="65">
        <v>373.8</v>
      </c>
      <c r="J27" s="65">
        <v>376.47</v>
      </c>
      <c r="K27" s="65">
        <v>378.02</v>
      </c>
      <c r="L27" s="65">
        <v>378.29</v>
      </c>
      <c r="M27" s="65">
        <v>378.34</v>
      </c>
    </row>
    <row r="28" spans="1:13" ht="12.75">
      <c r="A28">
        <v>2004</v>
      </c>
      <c r="B28" s="65">
        <v>381.39</v>
      </c>
      <c r="C28" s="65">
        <v>384.03</v>
      </c>
      <c r="D28" s="65">
        <v>385.58</v>
      </c>
      <c r="E28" s="66">
        <v>387.59</v>
      </c>
      <c r="F28" s="66">
        <v>388.38</v>
      </c>
      <c r="G28" s="66">
        <v>387.76</v>
      </c>
      <c r="H28" s="66">
        <v>386.75</v>
      </c>
      <c r="I28" s="66">
        <v>388.57</v>
      </c>
      <c r="J28" s="66"/>
      <c r="K28" s="66"/>
      <c r="L28" s="66"/>
      <c r="M28" s="66"/>
    </row>
    <row r="30" spans="2:13" ht="12.75">
      <c r="B30" s="73"/>
      <c r="C30" s="119" t="s">
        <v>140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72"/>
    </row>
    <row r="31" spans="2:13" ht="12.75">
      <c r="B31" s="2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3"/>
    </row>
    <row r="32" spans="1:13" ht="12.75">
      <c r="A32" s="60"/>
      <c r="B32" s="74" t="s">
        <v>94</v>
      </c>
      <c r="C32" s="74" t="s">
        <v>95</v>
      </c>
      <c r="D32" s="74" t="s">
        <v>96</v>
      </c>
      <c r="E32" s="74" t="s">
        <v>97</v>
      </c>
      <c r="F32" s="74" t="s">
        <v>98</v>
      </c>
      <c r="G32" s="74" t="s">
        <v>99</v>
      </c>
      <c r="H32" s="74" t="s">
        <v>100</v>
      </c>
      <c r="I32" s="74" t="s">
        <v>101</v>
      </c>
      <c r="J32" s="74" t="s">
        <v>103</v>
      </c>
      <c r="K32" s="74" t="s">
        <v>102</v>
      </c>
      <c r="L32" s="74" t="s">
        <v>104</v>
      </c>
      <c r="M32" s="74" t="s">
        <v>105</v>
      </c>
    </row>
    <row r="33" spans="1:13" ht="12.75">
      <c r="A33">
        <v>1982</v>
      </c>
      <c r="B33" s="83"/>
      <c r="C33" s="83"/>
      <c r="D33" s="83"/>
      <c r="E33" s="83"/>
      <c r="F33" s="83"/>
      <c r="G33" s="66"/>
      <c r="H33" s="66"/>
      <c r="I33" s="66"/>
      <c r="J33" s="83"/>
      <c r="K33" s="83"/>
      <c r="L33" s="84">
        <f>10758/33</f>
        <v>326</v>
      </c>
      <c r="M33" s="75"/>
    </row>
    <row r="34" spans="1:13" ht="12.75">
      <c r="A34">
        <v>1983</v>
      </c>
      <c r="B34" s="75"/>
      <c r="C34" s="75"/>
      <c r="D34" s="75"/>
      <c r="E34" s="75"/>
      <c r="F34" s="75"/>
      <c r="G34" s="76"/>
      <c r="H34" s="84">
        <f>15965/47.38</f>
        <v>336.95652173913044</v>
      </c>
      <c r="I34" s="76"/>
      <c r="J34" s="75"/>
      <c r="K34" s="75"/>
      <c r="L34" s="75"/>
      <c r="M34" s="75"/>
    </row>
    <row r="35" spans="1:13" ht="12.75">
      <c r="A35">
        <v>1984</v>
      </c>
      <c r="B35" s="84">
        <f>17757/54.9</f>
        <v>323.44262295081967</v>
      </c>
      <c r="C35" s="84"/>
      <c r="D35" s="84">
        <f>22932/57.9</f>
        <v>396.0621761658031</v>
      </c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75">
      <c r="A36">
        <v>1985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2.75">
      <c r="A37">
        <v>1986</v>
      </c>
      <c r="B37" s="84">
        <f>26616/97.81</f>
        <v>272.11941519272057</v>
      </c>
      <c r="C37" s="84"/>
      <c r="D37" s="84"/>
      <c r="E37" s="84"/>
      <c r="F37" s="84"/>
      <c r="G37" s="84"/>
      <c r="H37" s="84"/>
      <c r="I37" s="84">
        <f>29640/133.27</f>
        <v>222.4056426802731</v>
      </c>
      <c r="J37" s="84"/>
      <c r="K37" s="84"/>
      <c r="L37" s="84"/>
      <c r="M37" s="84"/>
    </row>
    <row r="38" spans="1:13" ht="12.75">
      <c r="A38">
        <v>1987</v>
      </c>
      <c r="B38" s="84"/>
      <c r="C38" s="84"/>
      <c r="D38" s="84"/>
      <c r="E38" s="84"/>
      <c r="F38" s="84"/>
      <c r="G38" s="84"/>
      <c r="H38" s="84">
        <f>37667/162</f>
        <v>232.51234567901236</v>
      </c>
      <c r="I38" s="84"/>
      <c r="J38" s="84"/>
      <c r="K38" s="84"/>
      <c r="L38" s="84"/>
      <c r="M38" s="84"/>
    </row>
    <row r="39" spans="1:13" ht="12.75">
      <c r="A39">
        <v>1988</v>
      </c>
      <c r="B39" s="84"/>
      <c r="C39" s="84"/>
      <c r="D39" s="84"/>
      <c r="E39" s="84"/>
      <c r="F39" s="84"/>
      <c r="G39" s="84">
        <f>59354/250</f>
        <v>237.416</v>
      </c>
      <c r="H39" s="84"/>
      <c r="I39" s="84"/>
      <c r="J39" s="84">
        <f>70169/409.5</f>
        <v>171.35286935286936</v>
      </c>
      <c r="K39" s="84"/>
      <c r="L39" s="84"/>
      <c r="M39" s="84"/>
    </row>
    <row r="40" spans="1:13" ht="12.75">
      <c r="A40">
        <v>1989</v>
      </c>
      <c r="B40" s="84"/>
      <c r="C40" s="84"/>
      <c r="D40" s="84"/>
      <c r="E40" s="84"/>
      <c r="F40" s="84">
        <f>104177/501.38</f>
        <v>207.78052574893294</v>
      </c>
      <c r="G40" s="84"/>
      <c r="H40" s="84"/>
      <c r="I40" s="84"/>
      <c r="J40" s="84"/>
      <c r="K40" s="84"/>
      <c r="L40" s="84">
        <f>124785/610.79</f>
        <v>204.30098724602564</v>
      </c>
      <c r="M40" s="84"/>
    </row>
    <row r="41" spans="1:13" ht="12.75">
      <c r="A41">
        <v>1990</v>
      </c>
      <c r="B41" s="84"/>
      <c r="C41" s="84"/>
      <c r="D41" s="84"/>
      <c r="E41" s="84"/>
      <c r="F41" s="84"/>
      <c r="G41" s="84"/>
      <c r="H41" s="84"/>
      <c r="I41" s="84"/>
      <c r="J41" s="84"/>
      <c r="K41" s="84">
        <f>173107/833.34</f>
        <v>207.7267381860945</v>
      </c>
      <c r="L41" s="84">
        <f>179071/847.38</f>
        <v>211.32313719936747</v>
      </c>
      <c r="M41" s="84">
        <f>183773/863.68</f>
        <v>212.77903853278994</v>
      </c>
    </row>
    <row r="42" spans="1:13" ht="12.75">
      <c r="A42">
        <v>1991</v>
      </c>
      <c r="B42" s="84">
        <f>193596/879.51</f>
        <v>220.11802026128186</v>
      </c>
      <c r="C42" s="84">
        <f>201455/919.95</f>
        <v>218.98472743083863</v>
      </c>
      <c r="D42" s="84">
        <f>208823/962.88</f>
        <v>216.8733383183782</v>
      </c>
      <c r="E42" s="84">
        <f>214928/978.14</f>
        <v>219.731326803934</v>
      </c>
      <c r="F42" s="84">
        <f>223769/994.5</f>
        <v>225.00653594771242</v>
      </c>
      <c r="G42" s="84">
        <f>230786/1010.27</f>
        <v>228.43992200104924</v>
      </c>
      <c r="H42" s="84">
        <f>236399/1026.63</f>
        <v>230.2669900548396</v>
      </c>
      <c r="I42" s="84">
        <f>242223/1060.91</f>
        <v>228.3162567984089</v>
      </c>
      <c r="J42" s="84">
        <f>251135/1098.5</f>
        <v>228.6162949476559</v>
      </c>
      <c r="K42" s="84">
        <f>258362/1114.86</f>
        <v>231.7438960945769</v>
      </c>
      <c r="L42" s="84">
        <f>264467/1128.9</f>
        <v>234.26964301532465</v>
      </c>
      <c r="M42" s="84">
        <f>276536/1202.58</f>
        <v>229.95226928769813</v>
      </c>
    </row>
    <row r="43" spans="1:13" ht="12.75">
      <c r="A43">
        <v>1992</v>
      </c>
      <c r="B43" s="84">
        <f>289868/1275.78</f>
        <v>227.20845286804936</v>
      </c>
      <c r="C43" s="84">
        <f>300113/1293.34</f>
        <v>232.04493791269118</v>
      </c>
      <c r="D43" s="84">
        <f>309586/1308.39</f>
        <v>236.61599370218357</v>
      </c>
      <c r="E43" s="84">
        <f>325865/1322.19</f>
        <v>246.45852714057736</v>
      </c>
      <c r="F43" s="84">
        <f>338425/1345.12</f>
        <v>251.59465326513623</v>
      </c>
      <c r="G43" s="84">
        <f>350915/1394.24</f>
        <v>251.68909226532017</v>
      </c>
      <c r="H43" s="84">
        <f>362212/1438.17</f>
        <v>251.85617833774864</v>
      </c>
      <c r="I43" s="84">
        <f>378842/1459.49</f>
        <v>259.5714941520668</v>
      </c>
      <c r="J43" s="84"/>
      <c r="K43" s="84"/>
      <c r="L43" s="84"/>
      <c r="M43" s="84"/>
    </row>
    <row r="44" spans="1:13" ht="12.75">
      <c r="A44">
        <v>1993</v>
      </c>
      <c r="B44" s="75"/>
      <c r="C44" s="75"/>
      <c r="D44" s="75"/>
      <c r="E44" s="75"/>
      <c r="F44" s="75"/>
      <c r="G44" s="76">
        <f>557580/2000</f>
        <v>278.79</v>
      </c>
      <c r="H44" s="84">
        <f>566808/2000</f>
        <v>283.404</v>
      </c>
      <c r="I44" s="84">
        <f>575597/2000</f>
        <v>287.7985</v>
      </c>
      <c r="J44" s="84">
        <f>588754/1978.43</f>
        <v>297.58647007981074</v>
      </c>
      <c r="K44" s="84">
        <f>603732/1950.1</f>
        <v>309.5902774216707</v>
      </c>
      <c r="L44" s="84">
        <f>613140/1953.45</f>
        <v>313.8754511249328</v>
      </c>
      <c r="M44" s="84">
        <f>617923/1980.9</f>
        <v>311.9405320813771</v>
      </c>
    </row>
    <row r="45" spans="1:13" ht="12.75">
      <c r="A45">
        <v>1994</v>
      </c>
      <c r="B45" s="84">
        <f>657900/2031.04</f>
        <v>323.92271939498977</v>
      </c>
      <c r="C45" s="84">
        <f>679466/2086</f>
        <v>325.7267497603068</v>
      </c>
      <c r="D45" s="84">
        <f>701925/2076.7</f>
        <v>338.0001926132807</v>
      </c>
      <c r="E45" s="84">
        <f>719981/2137.27</f>
        <v>336.86946431662824</v>
      </c>
      <c r="F45" s="84">
        <f>731723/2165.84</f>
        <v>337.84720939681597</v>
      </c>
      <c r="G45" s="84">
        <f>744570/2171.22</f>
        <v>342.9270179898859</v>
      </c>
      <c r="H45" s="84">
        <f>754187/2183.31</f>
        <v>345.432851954143</v>
      </c>
      <c r="I45" s="84">
        <f>765234/2211.36</f>
        <v>346.046776644237</v>
      </c>
      <c r="J45" s="84">
        <f>777623/2252.13</f>
        <v>345.283353980454</v>
      </c>
      <c r="K45" s="84">
        <f>791710/2264.38</f>
        <v>349.63654510285374</v>
      </c>
      <c r="L45" s="84">
        <f>807400/2282.35</f>
        <v>353.7581878327163</v>
      </c>
      <c r="M45" s="84">
        <f>831727/2305.27</f>
        <v>360.79374650257887</v>
      </c>
    </row>
    <row r="46" spans="1:13" ht="12.75">
      <c r="A46">
        <v>1995</v>
      </c>
      <c r="B46" s="84">
        <f>858832/2299.95</f>
        <v>373.4133350725016</v>
      </c>
      <c r="C46" s="84">
        <f>876887/2359.04</f>
        <v>371.71349362452526</v>
      </c>
      <c r="D46" s="84">
        <f>893171/2402.75</f>
        <v>371.72864426178336</v>
      </c>
      <c r="E46" s="84">
        <f>908054/2410.71</f>
        <v>376.67492149615674</v>
      </c>
      <c r="F46" s="84">
        <f>924438/2442.55</f>
        <v>378.472498004135</v>
      </c>
      <c r="G46" s="84">
        <f>939524/2464.04</f>
        <v>381.29413483547347</v>
      </c>
      <c r="H46" s="84">
        <f>951695/2556.19</f>
        <v>372.3099613096053</v>
      </c>
      <c r="I46" s="84">
        <f>964457/2575.85</f>
        <v>374.4228118873382</v>
      </c>
      <c r="J46" s="84">
        <f>995604/2603.34</f>
        <v>382.43333563806493</v>
      </c>
      <c r="K46" s="85">
        <f>1019271/2642.21</f>
        <v>385.7645682969938</v>
      </c>
      <c r="L46" s="84">
        <f>1036873/2700.14</f>
        <v>384.00712555645265</v>
      </c>
      <c r="M46" s="84">
        <f>1053989/2856.59</f>
        <v>368.96754522000003</v>
      </c>
    </row>
    <row r="47" spans="1:13" ht="12.75">
      <c r="A47">
        <v>1996</v>
      </c>
      <c r="B47" s="85">
        <f>1083559/2924.89</f>
        <v>370.4614532512334</v>
      </c>
      <c r="C47" s="85">
        <f>1113233/2928.86</f>
        <v>380.0908886051228</v>
      </c>
      <c r="D47" s="85">
        <f>1143099/2963.65</f>
        <v>385.70647681068954</v>
      </c>
      <c r="E47" s="85">
        <f>1165373/3041.15</f>
        <v>383.20142051526557</v>
      </c>
      <c r="F47" s="85">
        <f>1175295/3080.95</f>
        <v>381.47162401207424</v>
      </c>
      <c r="G47" s="85">
        <f>1201035/3121.9</f>
        <v>384.7128351324514</v>
      </c>
      <c r="H47" s="85">
        <f>1225233/3150.52</f>
        <v>388.8986579993144</v>
      </c>
      <c r="I47" s="85">
        <f>1249701/3189.65</f>
        <v>391.7987867007352</v>
      </c>
      <c r="J47" s="85">
        <f>1279034/3288.42</f>
        <v>388.9509247602192</v>
      </c>
      <c r="K47" s="85">
        <f>1311802/3297.14</f>
        <v>397.8605700698181</v>
      </c>
      <c r="L47" s="85">
        <f>1329621/3330.3</f>
        <v>399.24961715160794</v>
      </c>
      <c r="M47" s="85">
        <f>1351061/3454.25</f>
        <v>391.1300571759427</v>
      </c>
    </row>
    <row r="48" spans="1:13" ht="12.75">
      <c r="A48">
        <v>1997</v>
      </c>
      <c r="B48" s="85">
        <f>1422699/3625.45</f>
        <v>392.4199754513233</v>
      </c>
      <c r="C48" s="85">
        <f>1470664/3686.89</f>
        <v>398.8901214845032</v>
      </c>
      <c r="D48" s="85">
        <f>1494343/3750</f>
        <v>398.49146666666667</v>
      </c>
      <c r="E48" s="85">
        <f>1528371/3793.85</f>
        <v>402.85488356155355</v>
      </c>
      <c r="F48" s="85">
        <f>1542238/3851.95</f>
        <v>400.37850958605384</v>
      </c>
      <c r="G48" s="85">
        <f>1565405/3906</f>
        <v>400.7693292370712</v>
      </c>
      <c r="H48" s="85">
        <f>1603613/3969.59</f>
        <v>403.97446587682856</v>
      </c>
      <c r="I48" s="85">
        <f>1630201/4036.47</f>
        <v>403.8679836589892</v>
      </c>
      <c r="J48" s="85">
        <f>1661520/4104.38</f>
        <v>404.8163181771668</v>
      </c>
      <c r="K48" s="85">
        <f>1701392/4136.95</f>
        <v>411.2672379409952</v>
      </c>
      <c r="L48" s="85">
        <f>1730599/4217.38</f>
        <v>410.3493164002295</v>
      </c>
      <c r="M48" s="85">
        <f>1756143/4302.42</f>
        <v>408.1756313888463</v>
      </c>
    </row>
    <row r="49" spans="1:13" ht="12.75">
      <c r="A49">
        <v>1998</v>
      </c>
      <c r="B49" s="86">
        <f>1807926/4432.85</f>
        <v>407.84732170048613</v>
      </c>
      <c r="C49" s="87">
        <f>1843036/4510.57</f>
        <v>408.60379065173584</v>
      </c>
      <c r="D49" s="87">
        <f>1886602/4554.72</f>
        <v>414.20811817191833</v>
      </c>
      <c r="E49" s="87">
        <f>1969965/4730.95</f>
        <v>416.39945465498477</v>
      </c>
      <c r="F49" s="87">
        <f>2004412/5015.33</f>
        <v>399.65705148016184</v>
      </c>
      <c r="G49" s="87">
        <f>2071303/5167.71</f>
        <v>400.81641578184536</v>
      </c>
      <c r="H49" s="87">
        <f>2103799/5268.27</f>
        <v>399.3339369470433</v>
      </c>
      <c r="I49" s="87">
        <f>2140723/5323.71</f>
        <v>402.11112175531724</v>
      </c>
      <c r="J49" s="87">
        <f>2223761/5466.04</f>
        <v>406.832185640793</v>
      </c>
      <c r="K49" s="87">
        <f>2347114/6106</f>
        <v>384.3946937438585</v>
      </c>
      <c r="L49" s="87">
        <f>2404727/6716.68</f>
        <v>358.02316025179107</v>
      </c>
      <c r="M49" s="87">
        <f>2435098/6455.04</f>
        <v>377.2398002181241</v>
      </c>
    </row>
    <row r="50" spans="1:13" ht="12.75">
      <c r="A50">
        <v>1999</v>
      </c>
      <c r="B50" s="87">
        <f>2512250/6712.95</f>
        <v>374.239343358732</v>
      </c>
      <c r="C50" s="87">
        <f>2603742/7193.31</f>
        <v>361.96716115390547</v>
      </c>
      <c r="D50" s="87">
        <f>2875117/8252.64</f>
        <v>348.3875462882181</v>
      </c>
      <c r="E50" s="87">
        <f>3122004/10551.27</f>
        <v>295.8889309059478</v>
      </c>
      <c r="F50" s="87">
        <f>3168974/9110</f>
        <v>347.85664105378703</v>
      </c>
      <c r="G50" s="87">
        <f>3204801/9318.38</f>
        <v>343.9225487692067</v>
      </c>
      <c r="H50" s="87">
        <f>3279856/11453</f>
        <v>286.375272854274</v>
      </c>
      <c r="I50" s="87">
        <f>3307825/11672.05</f>
        <v>283.3970896286428</v>
      </c>
      <c r="J50" s="87">
        <f>3360077/11101.65</f>
        <v>302.6646489485797</v>
      </c>
      <c r="K50" s="87">
        <f>3479926/13006.22</f>
        <v>267.5585988857639</v>
      </c>
      <c r="L50" s="87">
        <f>3722291/16282</f>
        <v>228.61386807517505</v>
      </c>
      <c r="M50" s="87">
        <f>3990099/17698.09</f>
        <v>225.45365064817727</v>
      </c>
    </row>
    <row r="51" spans="1:13" ht="12.75">
      <c r="A51">
        <v>2000</v>
      </c>
      <c r="B51" s="87">
        <f>4468727/19811.04</f>
        <v>225.56751185197749</v>
      </c>
      <c r="C51" s="87">
        <f>4915933/25000</f>
        <v>196.63732</v>
      </c>
      <c r="D51" s="87">
        <f>5420781/25000</f>
        <v>216.83124</v>
      </c>
      <c r="E51" s="87">
        <f>6130488/25000</f>
        <v>245.21952</v>
      </c>
      <c r="F51" s="87">
        <f>6518454/25000</f>
        <v>260.73816</v>
      </c>
      <c r="G51" s="65">
        <v>274.76</v>
      </c>
      <c r="H51" s="65">
        <v>226.39</v>
      </c>
      <c r="I51" s="65">
        <v>229.46</v>
      </c>
      <c r="J51" s="71">
        <v>238.25661316067703</v>
      </c>
      <c r="K51" s="65">
        <v>244.17</v>
      </c>
      <c r="L51" s="65">
        <v>248.1</v>
      </c>
      <c r="M51" s="66">
        <v>252.93</v>
      </c>
    </row>
    <row r="52" spans="1:13" ht="12.75">
      <c r="A52">
        <v>2001</v>
      </c>
      <c r="B52" s="66">
        <v>269.77</v>
      </c>
      <c r="C52" s="66">
        <v>278.02</v>
      </c>
      <c r="D52" s="65">
        <v>284.25</v>
      </c>
      <c r="E52" s="65">
        <v>288.45</v>
      </c>
      <c r="F52" s="65">
        <v>287.77</v>
      </c>
      <c r="G52" s="65">
        <v>288.79</v>
      </c>
      <c r="H52" s="65">
        <v>290.66</v>
      </c>
      <c r="I52" s="65">
        <v>292.97</v>
      </c>
      <c r="J52" s="65">
        <v>299.42</v>
      </c>
      <c r="K52" s="65">
        <v>304.06</v>
      </c>
      <c r="L52" s="65">
        <v>310.21</v>
      </c>
      <c r="M52" s="65">
        <v>313.56</v>
      </c>
    </row>
    <row r="53" spans="1:13" ht="12.75">
      <c r="A53">
        <v>2002</v>
      </c>
      <c r="B53" s="65">
        <v>319.15</v>
      </c>
      <c r="C53" s="65">
        <v>323.18</v>
      </c>
      <c r="D53" s="65">
        <v>327.34</v>
      </c>
      <c r="E53" s="65">
        <v>330.31</v>
      </c>
      <c r="F53" s="65">
        <v>333.32</v>
      </c>
      <c r="G53" s="65">
        <v>334.05</v>
      </c>
      <c r="H53" s="65">
        <v>336.29</v>
      </c>
      <c r="I53" s="65">
        <v>339.91</v>
      </c>
      <c r="J53" s="65">
        <v>341.22</v>
      </c>
      <c r="K53" s="65">
        <v>346.14</v>
      </c>
      <c r="L53" s="65">
        <v>351.47</v>
      </c>
      <c r="M53" s="65">
        <v>353.24</v>
      </c>
    </row>
    <row r="54" spans="1:13" ht="12.75">
      <c r="A54">
        <v>2003</v>
      </c>
      <c r="B54" s="65">
        <v>361.75</v>
      </c>
      <c r="C54" s="65">
        <v>362</v>
      </c>
      <c r="D54" s="65">
        <v>363.79</v>
      </c>
      <c r="E54" s="65">
        <v>366.59</v>
      </c>
      <c r="F54" s="65">
        <v>368.72</v>
      </c>
      <c r="G54" s="65">
        <v>369.95</v>
      </c>
      <c r="H54" s="65">
        <v>371.11</v>
      </c>
      <c r="I54" s="65">
        <v>373.8</v>
      </c>
      <c r="J54" s="65">
        <v>376.47</v>
      </c>
      <c r="K54" s="65">
        <v>378.02</v>
      </c>
      <c r="L54" s="65">
        <v>378.29</v>
      </c>
      <c r="M54" s="65">
        <v>378.34</v>
      </c>
    </row>
    <row r="55" spans="1:13" ht="12.75">
      <c r="A55">
        <v>2004</v>
      </c>
      <c r="B55" s="65">
        <v>381.39</v>
      </c>
      <c r="C55" s="65">
        <v>384.03</v>
      </c>
      <c r="D55" s="65">
        <v>385.58</v>
      </c>
      <c r="E55" s="66">
        <v>387.59</v>
      </c>
      <c r="F55" s="66">
        <v>388.38</v>
      </c>
      <c r="G55" s="66">
        <v>387.76</v>
      </c>
      <c r="H55" s="66">
        <v>386.75</v>
      </c>
      <c r="I55" s="66">
        <v>388.57</v>
      </c>
      <c r="J55" s="66">
        <v>388.98</v>
      </c>
      <c r="K55" s="66">
        <v>390.21</v>
      </c>
      <c r="L55" s="66">
        <v>392.26</v>
      </c>
      <c r="M55" s="66">
        <v>394.45</v>
      </c>
    </row>
    <row r="56" spans="2:13" ht="12.75">
      <c r="B56" s="90"/>
      <c r="C56" s="90"/>
      <c r="D56" s="90"/>
      <c r="E56" s="59"/>
      <c r="F56" s="59"/>
      <c r="G56" s="59"/>
      <c r="H56" s="59"/>
      <c r="I56" s="59"/>
      <c r="J56" s="59"/>
      <c r="K56" s="59"/>
      <c r="L56" s="59"/>
      <c r="M56" s="59"/>
    </row>
    <row r="57" spans="2:13" ht="12.75">
      <c r="B57" s="90"/>
      <c r="C57" s="90"/>
      <c r="D57" s="90"/>
      <c r="E57" s="59"/>
      <c r="F57" s="59"/>
      <c r="G57" s="59"/>
      <c r="H57" s="59"/>
      <c r="I57" s="59"/>
      <c r="J57" s="59"/>
      <c r="K57" s="59"/>
      <c r="L57" s="59"/>
      <c r="M57" s="59"/>
    </row>
    <row r="58" spans="2:13" ht="12.75">
      <c r="B58" s="90"/>
      <c r="C58" s="90"/>
      <c r="D58" s="90"/>
      <c r="E58" s="59"/>
      <c r="F58" s="59"/>
      <c r="G58" s="59"/>
      <c r="H58" s="59"/>
      <c r="I58" s="59"/>
      <c r="J58" s="59"/>
      <c r="K58" s="59"/>
      <c r="L58" s="59"/>
      <c r="M58" s="59"/>
    </row>
    <row r="59" spans="2:13" ht="12.75">
      <c r="B59" s="90"/>
      <c r="C59" s="90"/>
      <c r="D59" s="90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2.75">
      <c r="B60" s="90"/>
      <c r="C60" s="90"/>
      <c r="D60" s="90"/>
      <c r="E60" s="59"/>
      <c r="F60" s="59"/>
      <c r="G60" s="59"/>
      <c r="H60" s="59"/>
      <c r="I60" s="59"/>
      <c r="J60" s="59"/>
      <c r="K60" s="59"/>
      <c r="L60" s="59"/>
      <c r="M60" s="59"/>
    </row>
    <row r="62" spans="1:13" ht="12.75">
      <c r="A62" s="114"/>
      <c r="B62" s="67"/>
      <c r="C62" s="115" t="s">
        <v>133</v>
      </c>
      <c r="D62" s="116"/>
      <c r="E62" s="116"/>
      <c r="F62" s="116"/>
      <c r="G62" s="116"/>
      <c r="H62" s="116"/>
      <c r="I62" s="116"/>
      <c r="J62" s="116"/>
      <c r="K62" s="117"/>
      <c r="L62" s="118"/>
      <c r="M62" s="67"/>
    </row>
    <row r="63" spans="1:13" ht="12.75">
      <c r="A63" s="114"/>
      <c r="B63" s="67" t="s">
        <v>94</v>
      </c>
      <c r="C63" s="67" t="s">
        <v>95</v>
      </c>
      <c r="D63" s="67" t="s">
        <v>96</v>
      </c>
      <c r="E63" s="67" t="s">
        <v>97</v>
      </c>
      <c r="F63" s="67" t="s">
        <v>98</v>
      </c>
      <c r="G63" s="67" t="s">
        <v>99</v>
      </c>
      <c r="H63" s="67" t="s">
        <v>100</v>
      </c>
      <c r="I63" s="67" t="s">
        <v>101</v>
      </c>
      <c r="J63" s="67" t="s">
        <v>135</v>
      </c>
      <c r="K63" s="67" t="s">
        <v>102</v>
      </c>
      <c r="L63" s="67" t="s">
        <v>136</v>
      </c>
      <c r="M63" s="67" t="s">
        <v>137</v>
      </c>
    </row>
    <row r="64" spans="1:13" ht="12.75">
      <c r="A64">
        <v>1994</v>
      </c>
      <c r="B64" s="84">
        <f>((B45/M44)-1)*100</f>
        <v>3.841176788942202</v>
      </c>
      <c r="C64" s="84">
        <f aca="true" t="shared" si="0" ref="C64:C74">((C45/B45)-1)*100</f>
        <v>0.5569323351837019</v>
      </c>
      <c r="D64" s="84">
        <f aca="true" t="shared" si="1" ref="D64:M64">((D45/C45)-1)*100</f>
        <v>3.768018089397196</v>
      </c>
      <c r="E64" s="84">
        <f t="shared" si="1"/>
        <v>-0.334534808371012</v>
      </c>
      <c r="F64" s="84">
        <f t="shared" si="1"/>
        <v>0.29024449638710426</v>
      </c>
      <c r="G64" s="84">
        <f t="shared" si="1"/>
        <v>1.5035816344729502</v>
      </c>
      <c r="H64" s="84">
        <f t="shared" si="1"/>
        <v>0.7307193171729232</v>
      </c>
      <c r="I64" s="84">
        <f t="shared" si="1"/>
        <v>0.1777262025371762</v>
      </c>
      <c r="J64" s="84">
        <f t="shared" si="1"/>
        <v>-0.22061256318761657</v>
      </c>
      <c r="K64" s="84">
        <f t="shared" si="1"/>
        <v>1.2607590467990315</v>
      </c>
      <c r="L64" s="84">
        <f t="shared" si="1"/>
        <v>1.1788363623860043</v>
      </c>
      <c r="M64" s="84">
        <f t="shared" si="1"/>
        <v>1.9888044748774814</v>
      </c>
    </row>
    <row r="65" spans="1:13" ht="12.75">
      <c r="A65">
        <v>1995</v>
      </c>
      <c r="B65" s="84">
        <f aca="true" t="shared" si="2" ref="B65:B74">((B46/M45)-1)*100</f>
        <v>3.4977292961014594</v>
      </c>
      <c r="C65" s="84">
        <f t="shared" si="0"/>
        <v>-0.45521712491769506</v>
      </c>
      <c r="D65" s="84">
        <f aca="true" t="shared" si="3" ref="D65:M65">((D46/C46)-1)*100</f>
        <v>0.00407589111450779</v>
      </c>
      <c r="E65" s="84">
        <f t="shared" si="3"/>
        <v>1.3306150361902302</v>
      </c>
      <c r="F65" s="84">
        <f t="shared" si="3"/>
        <v>0.47722224268029745</v>
      </c>
      <c r="G65" s="84">
        <f t="shared" si="3"/>
        <v>0.7455328580592502</v>
      </c>
      <c r="H65" s="84">
        <f t="shared" si="3"/>
        <v>-2.356231765732464</v>
      </c>
      <c r="I65" s="84">
        <f t="shared" si="3"/>
        <v>0.5674977296607597</v>
      </c>
      <c r="J65" s="84">
        <f t="shared" si="3"/>
        <v>2.1394326137204045</v>
      </c>
      <c r="K65" s="84">
        <f t="shared" si="3"/>
        <v>0.8710623129573491</v>
      </c>
      <c r="L65" s="84">
        <f t="shared" si="3"/>
        <v>-0.4555739134621928</v>
      </c>
      <c r="M65" s="84">
        <f t="shared" si="3"/>
        <v>-3.9164847044593887</v>
      </c>
    </row>
    <row r="66" spans="1:13" ht="12.75">
      <c r="A66">
        <v>1996</v>
      </c>
      <c r="B66" s="84">
        <f t="shared" si="2"/>
        <v>0.4048887363094833</v>
      </c>
      <c r="C66" s="84">
        <f t="shared" si="0"/>
        <v>2.599308313828552</v>
      </c>
      <c r="D66" s="84">
        <f aca="true" t="shared" si="4" ref="D66:M66">((D47/C47)-1)*100</f>
        <v>1.4774329966643185</v>
      </c>
      <c r="E66" s="84">
        <f t="shared" si="4"/>
        <v>-0.6494721883173016</v>
      </c>
      <c r="F66" s="84">
        <f t="shared" si="4"/>
        <v>-0.4514065999195349</v>
      </c>
      <c r="G66" s="84">
        <f t="shared" si="4"/>
        <v>0.8496598216895412</v>
      </c>
      <c r="H66" s="84">
        <f t="shared" si="4"/>
        <v>1.0880382676657696</v>
      </c>
      <c r="I66" s="84">
        <f t="shared" si="4"/>
        <v>0.7457286472369207</v>
      </c>
      <c r="J66" s="84">
        <f t="shared" si="4"/>
        <v>-0.7268684940291203</v>
      </c>
      <c r="K66" s="84">
        <f t="shared" si="4"/>
        <v>2.290686238910866</v>
      </c>
      <c r="L66" s="84">
        <f t="shared" si="4"/>
        <v>0.3491291136354935</v>
      </c>
      <c r="M66" s="84">
        <f t="shared" si="4"/>
        <v>-2.0337051375510784</v>
      </c>
    </row>
    <row r="67" spans="1:13" ht="12.75">
      <c r="A67">
        <v>1997</v>
      </c>
      <c r="B67" s="84">
        <f t="shared" si="2"/>
        <v>0.32979267425627956</v>
      </c>
      <c r="C67" s="84">
        <f t="shared" si="0"/>
        <v>1.648781009615674</v>
      </c>
      <c r="D67" s="84">
        <f aca="true" t="shared" si="5" ref="D67:M67">((D48/C48)-1)*100</f>
        <v>-0.09994101040980974</v>
      </c>
      <c r="E67" s="84">
        <f t="shared" si="5"/>
        <v>1.0949837725224842</v>
      </c>
      <c r="F67" s="84">
        <f t="shared" si="5"/>
        <v>-0.614706207259208</v>
      </c>
      <c r="G67" s="84">
        <f t="shared" si="5"/>
        <v>0.09761254454476731</v>
      </c>
      <c r="H67" s="84">
        <f t="shared" si="5"/>
        <v>0.7997459900084936</v>
      </c>
      <c r="I67" s="84">
        <f t="shared" si="5"/>
        <v>-0.02635865056674902</v>
      </c>
      <c r="J67" s="84">
        <f t="shared" si="5"/>
        <v>0.23481299745173878</v>
      </c>
      <c r="K67" s="84">
        <f t="shared" si="5"/>
        <v>1.593542422616756</v>
      </c>
      <c r="L67" s="84">
        <f t="shared" si="5"/>
        <v>-0.22319345089613085</v>
      </c>
      <c r="M67" s="84">
        <f t="shared" si="5"/>
        <v>-0.5297157627681126</v>
      </c>
    </row>
    <row r="68" spans="1:13" ht="12.75">
      <c r="A68">
        <v>1998</v>
      </c>
      <c r="B68" s="84">
        <f t="shared" si="2"/>
        <v>-0.08043343676422676</v>
      </c>
      <c r="C68" s="84">
        <f t="shared" si="0"/>
        <v>0.18547846485681418</v>
      </c>
      <c r="D68" s="84">
        <f aca="true" t="shared" si="6" ref="D68:M68">((D49/C49)-1)*100</f>
        <v>1.3715799139414342</v>
      </c>
      <c r="E68" s="84">
        <f t="shared" si="6"/>
        <v>0.5290423791638244</v>
      </c>
      <c r="F68" s="84">
        <f t="shared" si="6"/>
        <v>-4.0207553078317915</v>
      </c>
      <c r="G68" s="84">
        <f t="shared" si="6"/>
        <v>0.29008979008120495</v>
      </c>
      <c r="H68" s="84">
        <f t="shared" si="6"/>
        <v>-0.3698648000507454</v>
      </c>
      <c r="I68" s="84">
        <f t="shared" si="6"/>
        <v>0.6954542430092081</v>
      </c>
      <c r="J68" s="84">
        <f t="shared" si="6"/>
        <v>1.1740694624080783</v>
      </c>
      <c r="K68" s="84">
        <f t="shared" si="6"/>
        <v>-5.515171289015308</v>
      </c>
      <c r="L68" s="84">
        <f t="shared" si="6"/>
        <v>-6.860535257450806</v>
      </c>
      <c r="M68" s="84">
        <f t="shared" si="6"/>
        <v>5.367429289439918</v>
      </c>
    </row>
    <row r="69" spans="1:13" ht="12.75">
      <c r="A69">
        <v>1999</v>
      </c>
      <c r="B69" s="84">
        <f t="shared" si="2"/>
        <v>-0.7953712353938269</v>
      </c>
      <c r="C69" s="84">
        <f t="shared" si="0"/>
        <v>-3.2792335767495406</v>
      </c>
      <c r="D69" s="84">
        <f aca="true" t="shared" si="7" ref="D69:M69">((D50/C50)-1)*100</f>
        <v>-3.7516151527108854</v>
      </c>
      <c r="E69" s="84">
        <f t="shared" si="7"/>
        <v>-15.069027564733517</v>
      </c>
      <c r="F69" s="84">
        <f t="shared" si="7"/>
        <v>17.563249151877812</v>
      </c>
      <c r="G69" s="84">
        <f t="shared" si="7"/>
        <v>-1.1309521855504934</v>
      </c>
      <c r="H69" s="84">
        <f t="shared" si="7"/>
        <v>-16.732626610519365</v>
      </c>
      <c r="I69" s="84">
        <f t="shared" si="7"/>
        <v>-1.0399582324087997</v>
      </c>
      <c r="J69" s="84">
        <f t="shared" si="7"/>
        <v>6.79878517637027</v>
      </c>
      <c r="K69" s="84">
        <f t="shared" si="7"/>
        <v>-11.598992543321451</v>
      </c>
      <c r="L69" s="84">
        <f t="shared" si="7"/>
        <v>-14.555589307453577</v>
      </c>
      <c r="M69" s="84">
        <f t="shared" si="7"/>
        <v>-1.3823384616188705</v>
      </c>
    </row>
    <row r="70" spans="1:13" ht="12.75">
      <c r="A70">
        <v>2000</v>
      </c>
      <c r="B70" s="84">
        <f t="shared" si="2"/>
        <v>0.05050315374039993</v>
      </c>
      <c r="C70" s="84">
        <f t="shared" si="0"/>
        <v>-12.82551357438484</v>
      </c>
      <c r="D70" s="84">
        <f aca="true" t="shared" si="8" ref="D70:M70">((D51/C51)-1)*100</f>
        <v>10.269627352529032</v>
      </c>
      <c r="E70" s="84">
        <f t="shared" si="8"/>
        <v>13.09233853940972</v>
      </c>
      <c r="F70" s="84">
        <f t="shared" si="8"/>
        <v>6.328468467763093</v>
      </c>
      <c r="G70" s="88">
        <f t="shared" si="8"/>
        <v>5.377747545660361</v>
      </c>
      <c r="H70" s="88">
        <f t="shared" si="8"/>
        <v>-17.60445479691367</v>
      </c>
      <c r="I70" s="88">
        <f t="shared" si="8"/>
        <v>1.3560669640885203</v>
      </c>
      <c r="J70" s="88">
        <f t="shared" si="8"/>
        <v>3.8336150791759005</v>
      </c>
      <c r="K70" s="88">
        <f t="shared" si="8"/>
        <v>2.481940274763761</v>
      </c>
      <c r="L70" s="88">
        <f t="shared" si="8"/>
        <v>1.6095343408281115</v>
      </c>
      <c r="M70" s="88">
        <f t="shared" si="8"/>
        <v>1.946795646916577</v>
      </c>
    </row>
    <row r="71" spans="1:13" ht="12.75">
      <c r="A71">
        <v>2001</v>
      </c>
      <c r="B71" s="84">
        <f t="shared" si="2"/>
        <v>6.657968607915232</v>
      </c>
      <c r="C71" s="88">
        <f t="shared" si="0"/>
        <v>3.058160655373099</v>
      </c>
      <c r="D71" s="88">
        <f aca="true" t="shared" si="9" ref="D71:M71">((D52/C52)-1)*100</f>
        <v>2.24084598230343</v>
      </c>
      <c r="E71" s="88">
        <f t="shared" si="9"/>
        <v>1.4775725593667577</v>
      </c>
      <c r="F71" s="88">
        <f t="shared" si="9"/>
        <v>-0.23574276304385577</v>
      </c>
      <c r="G71" s="88">
        <f t="shared" si="9"/>
        <v>0.35444973416272063</v>
      </c>
      <c r="H71" s="88">
        <f t="shared" si="9"/>
        <v>0.6475293465840304</v>
      </c>
      <c r="I71" s="88">
        <f t="shared" si="9"/>
        <v>0.7947429986926213</v>
      </c>
      <c r="J71" s="88">
        <f t="shared" si="9"/>
        <v>2.201590606546744</v>
      </c>
      <c r="K71" s="88">
        <f t="shared" si="9"/>
        <v>1.5496626811836167</v>
      </c>
      <c r="L71" s="88">
        <f t="shared" si="9"/>
        <v>2.022627113069775</v>
      </c>
      <c r="M71" s="88">
        <f t="shared" si="9"/>
        <v>1.0799136069114645</v>
      </c>
    </row>
    <row r="72" spans="1:13" ht="12.75">
      <c r="A72">
        <v>2002</v>
      </c>
      <c r="B72" s="84">
        <f t="shared" si="2"/>
        <v>1.782752902155882</v>
      </c>
      <c r="C72" s="88">
        <f t="shared" si="0"/>
        <v>1.2627291242362615</v>
      </c>
      <c r="D72" s="88">
        <f aca="true" t="shared" si="10" ref="D72:M72">((D53/C53)-1)*100</f>
        <v>1.2872083668543643</v>
      </c>
      <c r="E72" s="88">
        <f t="shared" si="10"/>
        <v>0.9073134966701479</v>
      </c>
      <c r="F72" s="88">
        <f t="shared" si="10"/>
        <v>0.9112651751385092</v>
      </c>
      <c r="G72" s="88">
        <f t="shared" si="10"/>
        <v>0.21900876035041428</v>
      </c>
      <c r="H72" s="88">
        <f t="shared" si="10"/>
        <v>0.6705582996557435</v>
      </c>
      <c r="I72" s="88">
        <f t="shared" si="10"/>
        <v>1.076451871896289</v>
      </c>
      <c r="J72" s="88">
        <f t="shared" si="10"/>
        <v>0.3853961342708434</v>
      </c>
      <c r="K72" s="88">
        <f t="shared" si="10"/>
        <v>1.441885000879184</v>
      </c>
      <c r="L72" s="88">
        <f t="shared" si="10"/>
        <v>1.539839371352647</v>
      </c>
      <c r="M72" s="88">
        <f t="shared" si="10"/>
        <v>0.5035991692036168</v>
      </c>
    </row>
    <row r="73" spans="1:13" ht="12.75">
      <c r="A73">
        <v>2003</v>
      </c>
      <c r="B73" s="84">
        <f t="shared" si="2"/>
        <v>2.409126939191486</v>
      </c>
      <c r="C73" s="88">
        <f t="shared" si="0"/>
        <v>0.06910850034553828</v>
      </c>
      <c r="D73" s="88">
        <f aca="true" t="shared" si="11" ref="D73:M74">((D54/C54)-1)*100</f>
        <v>0.49447513812155286</v>
      </c>
      <c r="E73" s="88">
        <f t="shared" si="11"/>
        <v>0.7696748123917629</v>
      </c>
      <c r="F73" s="88">
        <f t="shared" si="11"/>
        <v>0.5810305791211112</v>
      </c>
      <c r="G73" s="88">
        <f t="shared" si="11"/>
        <v>0.3335864612714179</v>
      </c>
      <c r="H73" s="88">
        <f t="shared" si="11"/>
        <v>0.31355588593053874</v>
      </c>
      <c r="I73" s="88">
        <f t="shared" si="11"/>
        <v>0.7248524696181757</v>
      </c>
      <c r="J73" s="88">
        <f t="shared" si="11"/>
        <v>0.7142857142857117</v>
      </c>
      <c r="K73" s="88">
        <f t="shared" si="11"/>
        <v>0.4117193933115493</v>
      </c>
      <c r="L73" s="88">
        <f t="shared" si="11"/>
        <v>0.07142479233903654</v>
      </c>
      <c r="M73" s="88">
        <f t="shared" si="11"/>
        <v>0.013217372914953174</v>
      </c>
    </row>
    <row r="74" spans="1:13" ht="12.75">
      <c r="A74">
        <v>2004</v>
      </c>
      <c r="B74" s="84">
        <f t="shared" si="2"/>
        <v>0.806153195538406</v>
      </c>
      <c r="C74" s="88">
        <f t="shared" si="0"/>
        <v>0.6922048297018701</v>
      </c>
      <c r="D74" s="88">
        <f t="shared" si="11"/>
        <v>0.40361430096607087</v>
      </c>
      <c r="E74" s="88">
        <f t="shared" si="11"/>
        <v>0.5212925981638028</v>
      </c>
      <c r="F74" s="88">
        <f t="shared" si="11"/>
        <v>0.2038236280605954</v>
      </c>
      <c r="G74" s="88">
        <f t="shared" si="11"/>
        <v>-0.15963746845872873</v>
      </c>
      <c r="H74" s="88">
        <f t="shared" si="11"/>
        <v>-0.2604703940581765</v>
      </c>
      <c r="I74" s="88">
        <f t="shared" si="11"/>
        <v>0.47058823529411153</v>
      </c>
      <c r="J74" s="88"/>
      <c r="K74" s="67"/>
      <c r="L74" s="67"/>
      <c r="M74" s="67"/>
    </row>
    <row r="78" spans="1:13" ht="12.75">
      <c r="A78" s="112"/>
      <c r="B78" s="67"/>
      <c r="C78" s="120" t="s">
        <v>134</v>
      </c>
      <c r="D78" s="120"/>
      <c r="E78" s="120"/>
      <c r="F78" s="120"/>
      <c r="G78" s="120"/>
      <c r="H78" s="120"/>
      <c r="I78" s="120"/>
      <c r="J78" s="120"/>
      <c r="K78" s="120"/>
      <c r="L78" s="120"/>
      <c r="M78" s="67"/>
    </row>
    <row r="79" spans="1:13" ht="12.75">
      <c r="A79" s="113"/>
      <c r="B79" s="89" t="s">
        <v>94</v>
      </c>
      <c r="C79" s="89" t="s">
        <v>95</v>
      </c>
      <c r="D79" s="89" t="s">
        <v>96</v>
      </c>
      <c r="E79" s="89" t="s">
        <v>97</v>
      </c>
      <c r="F79" s="89" t="s">
        <v>98</v>
      </c>
      <c r="G79" s="89" t="s">
        <v>99</v>
      </c>
      <c r="H79" s="89" t="s">
        <v>100</v>
      </c>
      <c r="I79" s="89" t="s">
        <v>101</v>
      </c>
      <c r="J79" s="89" t="s">
        <v>135</v>
      </c>
      <c r="K79" s="89" t="s">
        <v>102</v>
      </c>
      <c r="L79" s="89" t="s">
        <v>136</v>
      </c>
      <c r="M79" s="89" t="s">
        <v>137</v>
      </c>
    </row>
    <row r="80" spans="1:13" ht="12.75">
      <c r="A80" s="67">
        <v>1995</v>
      </c>
      <c r="B80" s="84">
        <f>((B46/B45)-1)*100</f>
        <v>15.278525621774364</v>
      </c>
      <c r="C80" s="84">
        <f>((C46/C45)-1)*100</f>
        <v>14.118196892965894</v>
      </c>
      <c r="D80" s="84">
        <f aca="true" t="shared" si="12" ref="D80:M80">((D46/D45)-1)*100</f>
        <v>9.978826162117805</v>
      </c>
      <c r="E80" s="84">
        <f t="shared" si="12"/>
        <v>11.8162853555984</v>
      </c>
      <c r="F80" s="84">
        <f t="shared" si="12"/>
        <v>12.024751863379436</v>
      </c>
      <c r="G80" s="84">
        <f t="shared" si="12"/>
        <v>11.188128911650574</v>
      </c>
      <c r="H80" s="84">
        <f t="shared" si="12"/>
        <v>7.780704470757827</v>
      </c>
      <c r="I80" s="84">
        <f t="shared" si="12"/>
        <v>8.200057668005378</v>
      </c>
      <c r="J80" s="84">
        <f t="shared" si="12"/>
        <v>10.759273862855823</v>
      </c>
      <c r="K80" s="84">
        <f t="shared" si="12"/>
        <v>10.333022591649321</v>
      </c>
      <c r="L80" s="84">
        <f t="shared" si="12"/>
        <v>8.550738545178294</v>
      </c>
      <c r="M80" s="84">
        <f t="shared" si="12"/>
        <v>2.265504542873975</v>
      </c>
    </row>
    <row r="81" spans="1:13" ht="12.75">
      <c r="A81" s="67">
        <v>1996</v>
      </c>
      <c r="B81" s="84">
        <f aca="true" t="shared" si="13" ref="B81:M89">((B47/B46)-1)*100</f>
        <v>-0.79051323132181</v>
      </c>
      <c r="C81" s="84">
        <f t="shared" si="13"/>
        <v>2.253723667362939</v>
      </c>
      <c r="D81" s="84">
        <f t="shared" si="13"/>
        <v>3.7602247673608202</v>
      </c>
      <c r="E81" s="84">
        <f t="shared" si="13"/>
        <v>1.7326608825417589</v>
      </c>
      <c r="F81" s="84">
        <f t="shared" si="13"/>
        <v>0.7924290466956085</v>
      </c>
      <c r="G81" s="84">
        <f t="shared" si="13"/>
        <v>0.896604480541785</v>
      </c>
      <c r="H81" s="84">
        <f t="shared" si="13"/>
        <v>4.45561451844001</v>
      </c>
      <c r="I81" s="84">
        <f t="shared" si="13"/>
        <v>4.640736157556913</v>
      </c>
      <c r="J81" s="84">
        <f t="shared" si="13"/>
        <v>1.7042418938924664</v>
      </c>
      <c r="K81" s="84">
        <f t="shared" si="13"/>
        <v>3.135591696827844</v>
      </c>
      <c r="L81" s="84">
        <f t="shared" si="13"/>
        <v>3.969325197564455</v>
      </c>
      <c r="M81" s="84">
        <f t="shared" si="13"/>
        <v>6.006629104120265</v>
      </c>
    </row>
    <row r="82" spans="1:13" ht="12.75">
      <c r="A82" s="67">
        <v>1997</v>
      </c>
      <c r="B82" s="84">
        <f t="shared" si="13"/>
        <v>5.9273433193597125</v>
      </c>
      <c r="C82" s="84">
        <f t="shared" si="13"/>
        <v>4.945983564186651</v>
      </c>
      <c r="D82" s="84">
        <f t="shared" si="13"/>
        <v>3.314694106693006</v>
      </c>
      <c r="E82" s="84">
        <f t="shared" si="13"/>
        <v>5.1287552691900995</v>
      </c>
      <c r="F82" s="84">
        <f t="shared" si="13"/>
        <v>4.9563019590104895</v>
      </c>
      <c r="G82" s="84">
        <f t="shared" si="13"/>
        <v>4.1736309887066225</v>
      </c>
      <c r="H82" s="84">
        <f t="shared" si="13"/>
        <v>3.876538930494511</v>
      </c>
      <c r="I82" s="84">
        <f t="shared" si="13"/>
        <v>3.0804579717784275</v>
      </c>
      <c r="J82" s="84">
        <f t="shared" si="13"/>
        <v>4.079021904043123</v>
      </c>
      <c r="K82" s="84">
        <f t="shared" si="13"/>
        <v>3.3696900069349445</v>
      </c>
      <c r="L82" s="84">
        <f t="shared" si="13"/>
        <v>2.7801402360284833</v>
      </c>
      <c r="M82" s="84">
        <f t="shared" si="13"/>
        <v>4.358032296463477</v>
      </c>
    </row>
    <row r="83" spans="1:13" ht="12.75">
      <c r="A83" s="67">
        <v>1998</v>
      </c>
      <c r="B83" s="84">
        <f t="shared" si="13"/>
        <v>3.9313356134380806</v>
      </c>
      <c r="C83" s="84">
        <f t="shared" si="13"/>
        <v>2.4351741605137756</v>
      </c>
      <c r="D83" s="84">
        <f t="shared" si="13"/>
        <v>3.9440371551038744</v>
      </c>
      <c r="E83" s="84">
        <f t="shared" si="13"/>
        <v>3.36214643190782</v>
      </c>
      <c r="F83" s="84">
        <f t="shared" si="13"/>
        <v>-0.18019401356929032</v>
      </c>
      <c r="G83" s="84">
        <f t="shared" si="13"/>
        <v>0.011749038995523264</v>
      </c>
      <c r="H83" s="84">
        <f t="shared" si="13"/>
        <v>-1.1487183774630316</v>
      </c>
      <c r="I83" s="84">
        <f t="shared" si="13"/>
        <v>-0.435008957074301</v>
      </c>
      <c r="J83" s="84">
        <f t="shared" si="13"/>
        <v>0.49797090016119316</v>
      </c>
      <c r="K83" s="84">
        <f t="shared" si="13"/>
        <v>-6.534083369167398</v>
      </c>
      <c r="L83" s="84">
        <f t="shared" si="13"/>
        <v>-12.751612847187666</v>
      </c>
      <c r="M83" s="84">
        <f t="shared" si="13"/>
        <v>-7.579049015116568</v>
      </c>
    </row>
    <row r="84" spans="1:13" ht="12.75">
      <c r="A84" s="67">
        <v>1999</v>
      </c>
      <c r="B84" s="84">
        <f t="shared" si="13"/>
        <v>-8.240333221174135</v>
      </c>
      <c r="C84" s="84">
        <f t="shared" si="13"/>
        <v>-11.413655615735596</v>
      </c>
      <c r="D84" s="84">
        <f t="shared" si="13"/>
        <v>-15.890700591334427</v>
      </c>
      <c r="E84" s="84">
        <f t="shared" si="13"/>
        <v>-28.9410858736326</v>
      </c>
      <c r="F84" s="84">
        <f t="shared" si="13"/>
        <v>-12.961215180497343</v>
      </c>
      <c r="G84" s="84">
        <f t="shared" si="13"/>
        <v>-14.19449522836026</v>
      </c>
      <c r="H84" s="84">
        <f t="shared" si="13"/>
        <v>-28.286767950741197</v>
      </c>
      <c r="I84" s="84">
        <f t="shared" si="13"/>
        <v>-29.52269303282573</v>
      </c>
      <c r="J84" s="84">
        <f t="shared" si="13"/>
        <v>-25.604546633433422</v>
      </c>
      <c r="K84" s="84">
        <f t="shared" si="13"/>
        <v>-30.394825100251865</v>
      </c>
      <c r="L84" s="84">
        <f t="shared" si="13"/>
        <v>-36.145508599389174</v>
      </c>
      <c r="M84" s="84">
        <f t="shared" si="13"/>
        <v>-40.23598503715209</v>
      </c>
    </row>
    <row r="85" spans="1:13" ht="12.75">
      <c r="A85" s="67">
        <v>2000</v>
      </c>
      <c r="B85" s="84">
        <f t="shared" si="13"/>
        <v>-39.72640347550076</v>
      </c>
      <c r="C85" s="84">
        <f t="shared" si="13"/>
        <v>-45.67537028134123</v>
      </c>
      <c r="D85" s="84">
        <f t="shared" si="13"/>
        <v>-37.76148363793196</v>
      </c>
      <c r="E85" s="84">
        <f t="shared" si="13"/>
        <v>-17.124469898488282</v>
      </c>
      <c r="F85" s="84">
        <f t="shared" si="13"/>
        <v>-25.044363330213503</v>
      </c>
      <c r="G85" s="88">
        <f t="shared" si="13"/>
        <v>-20.10991981093366</v>
      </c>
      <c r="H85" s="88">
        <f t="shared" si="13"/>
        <v>-20.946386975525755</v>
      </c>
      <c r="I85" s="88">
        <f t="shared" si="13"/>
        <v>-19.032337170194914</v>
      </c>
      <c r="J85" s="88">
        <f t="shared" si="13"/>
        <v>-21.28032990031984</v>
      </c>
      <c r="K85" s="88">
        <f t="shared" si="13"/>
        <v>-8.741486531610166</v>
      </c>
      <c r="L85" s="88">
        <f t="shared" si="13"/>
        <v>8.52360011616502</v>
      </c>
      <c r="M85" s="88">
        <f t="shared" si="13"/>
        <v>12.187138807834108</v>
      </c>
    </row>
    <row r="86" spans="1:13" ht="12.75">
      <c r="A86" s="67">
        <v>2001</v>
      </c>
      <c r="B86" s="88">
        <f t="shared" si="13"/>
        <v>19.59612347767048</v>
      </c>
      <c r="C86" s="88">
        <f t="shared" si="13"/>
        <v>41.38719954075858</v>
      </c>
      <c r="D86" s="88">
        <f t="shared" si="13"/>
        <v>31.092733685422825</v>
      </c>
      <c r="E86" s="88">
        <f t="shared" si="13"/>
        <v>17.62929802651927</v>
      </c>
      <c r="F86" s="88">
        <f t="shared" si="13"/>
        <v>10.367427613971048</v>
      </c>
      <c r="G86" s="88">
        <f t="shared" si="13"/>
        <v>5.106274566894764</v>
      </c>
      <c r="H86" s="88">
        <f t="shared" si="13"/>
        <v>28.389063121162607</v>
      </c>
      <c r="I86" s="88">
        <f t="shared" si="13"/>
        <v>27.67802667131527</v>
      </c>
      <c r="J86" s="88">
        <f t="shared" si="13"/>
        <v>25.671223152188105</v>
      </c>
      <c r="K86" s="88">
        <f t="shared" si="13"/>
        <v>24.527992791907295</v>
      </c>
      <c r="L86" s="88">
        <f t="shared" si="13"/>
        <v>25.03426037887948</v>
      </c>
      <c r="M86" s="88">
        <f t="shared" si="13"/>
        <v>23.97105918633613</v>
      </c>
    </row>
    <row r="87" spans="1:13" ht="12.75">
      <c r="A87" s="67">
        <v>2002</v>
      </c>
      <c r="B87" s="88">
        <f t="shared" si="13"/>
        <v>18.304481595433142</v>
      </c>
      <c r="C87" s="88">
        <f t="shared" si="13"/>
        <v>16.24343572404865</v>
      </c>
      <c r="D87" s="88">
        <f t="shared" si="13"/>
        <v>15.15919085312225</v>
      </c>
      <c r="E87" s="88">
        <f t="shared" si="13"/>
        <v>14.51204714855261</v>
      </c>
      <c r="F87" s="88">
        <f t="shared" si="13"/>
        <v>15.828613128540159</v>
      </c>
      <c r="G87" s="88">
        <f t="shared" si="13"/>
        <v>15.672287821600461</v>
      </c>
      <c r="H87" s="88">
        <f t="shared" si="13"/>
        <v>15.6987545585908</v>
      </c>
      <c r="I87" s="88">
        <f t="shared" si="13"/>
        <v>16.022118305628563</v>
      </c>
      <c r="J87" s="88">
        <f t="shared" si="13"/>
        <v>13.960323291697275</v>
      </c>
      <c r="K87" s="88">
        <f t="shared" si="13"/>
        <v>13.839373807801092</v>
      </c>
      <c r="L87" s="88">
        <f t="shared" si="13"/>
        <v>13.300667289900403</v>
      </c>
      <c r="M87" s="88">
        <f t="shared" si="13"/>
        <v>12.654675341242516</v>
      </c>
    </row>
    <row r="88" spans="1:13" ht="12.75">
      <c r="A88" s="67">
        <v>2003</v>
      </c>
      <c r="B88" s="88">
        <f t="shared" si="13"/>
        <v>13.34795550681498</v>
      </c>
      <c r="C88" s="88">
        <f t="shared" si="13"/>
        <v>12.011881923386337</v>
      </c>
      <c r="D88" s="88">
        <f t="shared" si="13"/>
        <v>11.135211095497045</v>
      </c>
      <c r="E88" s="88">
        <f t="shared" si="13"/>
        <v>10.98362144651992</v>
      </c>
      <c r="F88" s="88">
        <f t="shared" si="13"/>
        <v>10.62042481699268</v>
      </c>
      <c r="G88" s="88">
        <f t="shared" si="13"/>
        <v>10.746894177518328</v>
      </c>
      <c r="H88" s="88">
        <f t="shared" si="13"/>
        <v>10.354158613101783</v>
      </c>
      <c r="I88" s="88">
        <f t="shared" si="13"/>
        <v>9.970286252243232</v>
      </c>
      <c r="J88" s="88">
        <f t="shared" si="13"/>
        <v>10.330578512396693</v>
      </c>
      <c r="K88" s="88">
        <f t="shared" si="13"/>
        <v>9.210146183625124</v>
      </c>
      <c r="L88" s="88">
        <f t="shared" si="13"/>
        <v>7.630807750305846</v>
      </c>
      <c r="M88" s="88">
        <f t="shared" si="13"/>
        <v>7.10565054920167</v>
      </c>
    </row>
    <row r="89" spans="1:13" ht="12.75">
      <c r="A89" s="67">
        <v>2004</v>
      </c>
      <c r="B89" s="88">
        <f t="shared" si="13"/>
        <v>5.429163787145819</v>
      </c>
      <c r="C89" s="88">
        <f t="shared" si="13"/>
        <v>6.085635359116015</v>
      </c>
      <c r="D89" s="88">
        <f t="shared" si="13"/>
        <v>5.989719343577327</v>
      </c>
      <c r="E89" s="88">
        <f t="shared" si="13"/>
        <v>5.728470498376925</v>
      </c>
      <c r="F89" s="88">
        <f t="shared" si="13"/>
        <v>5.331959210240833</v>
      </c>
      <c r="G89" s="88">
        <f t="shared" si="13"/>
        <v>4.814164076226524</v>
      </c>
      <c r="H89" s="88">
        <f t="shared" si="13"/>
        <v>4.214383875400829</v>
      </c>
      <c r="I89" s="88">
        <f t="shared" si="13"/>
        <v>3.9513108614232184</v>
      </c>
      <c r="J89" s="88"/>
      <c r="K89" s="88"/>
      <c r="L89" s="88"/>
      <c r="M89" s="88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73"/>
      <c r="C2" s="119" t="s">
        <v>138</v>
      </c>
      <c r="D2" s="119"/>
      <c r="E2" s="119"/>
      <c r="F2" s="119"/>
      <c r="G2" s="119"/>
      <c r="H2" s="119"/>
      <c r="I2" s="119"/>
      <c r="J2" s="119"/>
      <c r="K2" s="119"/>
      <c r="L2" s="119"/>
      <c r="M2" s="72"/>
    </row>
    <row r="3" spans="2:13" ht="12.75">
      <c r="B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</row>
    <row r="4" spans="1:13" ht="12.75">
      <c r="A4" s="60" t="s">
        <v>92</v>
      </c>
      <c r="B4" s="68" t="s">
        <v>94</v>
      </c>
      <c r="C4" s="68" t="s">
        <v>95</v>
      </c>
      <c r="D4" s="68" t="s">
        <v>96</v>
      </c>
      <c r="E4" s="68" t="s">
        <v>97</v>
      </c>
      <c r="F4" s="68" t="s">
        <v>98</v>
      </c>
      <c r="G4" s="68" t="s">
        <v>99</v>
      </c>
      <c r="H4" s="68" t="s">
        <v>100</v>
      </c>
      <c r="I4" s="68" t="s">
        <v>101</v>
      </c>
      <c r="J4" s="68" t="s">
        <v>103</v>
      </c>
      <c r="K4" s="68" t="s">
        <v>102</v>
      </c>
      <c r="L4" s="68" t="s">
        <v>104</v>
      </c>
      <c r="M4" s="68" t="s">
        <v>105</v>
      </c>
    </row>
    <row r="5" spans="1:13" ht="12.75">
      <c r="A5" s="2" t="s">
        <v>93</v>
      </c>
      <c r="B5" s="69"/>
      <c r="C5" s="69"/>
      <c r="D5" s="69"/>
      <c r="E5" s="69"/>
      <c r="F5" s="69"/>
      <c r="G5" s="67"/>
      <c r="H5" s="67"/>
      <c r="I5" s="67"/>
      <c r="J5" s="69"/>
      <c r="K5" s="69"/>
      <c r="L5" s="69"/>
      <c r="M5" s="69"/>
    </row>
    <row r="6" spans="1:13" ht="12.75">
      <c r="A6">
        <v>1992</v>
      </c>
      <c r="B6" s="75"/>
      <c r="C6" s="75"/>
      <c r="D6" s="75"/>
      <c r="E6" s="75"/>
      <c r="F6" s="75"/>
      <c r="G6" s="76"/>
      <c r="H6" s="75"/>
      <c r="I6" s="75"/>
      <c r="J6" s="75"/>
      <c r="K6" s="75"/>
      <c r="L6" s="75"/>
      <c r="M6" s="77">
        <v>207968.61</v>
      </c>
    </row>
    <row r="7" spans="1:13" ht="12.75">
      <c r="A7">
        <v>1993</v>
      </c>
      <c r="B7" s="91">
        <v>215069.54</v>
      </c>
      <c r="C7" s="77">
        <v>220242.63</v>
      </c>
      <c r="D7" s="77">
        <v>225131.64</v>
      </c>
      <c r="E7" s="77">
        <v>231761.67</v>
      </c>
      <c r="F7" s="77">
        <v>237208.88</v>
      </c>
      <c r="G7" s="77">
        <v>245370.04</v>
      </c>
      <c r="H7" s="77">
        <v>250509.35</v>
      </c>
      <c r="I7" s="77">
        <v>254060.91</v>
      </c>
      <c r="J7" s="77">
        <v>260889.13</v>
      </c>
      <c r="K7" s="77">
        <v>271181.06</v>
      </c>
      <c r="L7" s="77">
        <v>275275.76</v>
      </c>
      <c r="M7" s="77">
        <v>276856.59</v>
      </c>
    </row>
    <row r="8" spans="1:13" ht="12.75">
      <c r="A8">
        <v>1994</v>
      </c>
      <c r="B8" s="77">
        <v>287251.46</v>
      </c>
      <c r="C8" s="77">
        <v>295223.46</v>
      </c>
      <c r="D8" s="77">
        <v>303882.54</v>
      </c>
      <c r="E8" s="78">
        <v>314116.85</v>
      </c>
      <c r="F8" s="78">
        <v>319028.81</v>
      </c>
      <c r="G8" s="78">
        <v>324996.82</v>
      </c>
      <c r="H8" s="78">
        <v>330405.33</v>
      </c>
      <c r="I8" s="78">
        <v>335226.9</v>
      </c>
      <c r="J8" s="78">
        <v>341249.29</v>
      </c>
      <c r="K8" s="78">
        <v>347395.38</v>
      </c>
      <c r="L8" s="78">
        <v>353051.84</v>
      </c>
      <c r="M8" s="79">
        <v>359985.49</v>
      </c>
    </row>
    <row r="9" spans="1:13" ht="12.75">
      <c r="A9">
        <v>1995</v>
      </c>
      <c r="B9" s="79">
        <v>377226.17</v>
      </c>
      <c r="C9" s="79">
        <v>382600.51</v>
      </c>
      <c r="D9" s="79">
        <v>390324.09</v>
      </c>
      <c r="E9" s="79">
        <v>398637.99</v>
      </c>
      <c r="F9" s="79">
        <v>404694.93</v>
      </c>
      <c r="G9" s="79">
        <v>409976.78</v>
      </c>
      <c r="H9" s="79">
        <v>414429.5</v>
      </c>
      <c r="I9" s="79">
        <v>419046.77</v>
      </c>
      <c r="J9" s="79">
        <v>433794.73</v>
      </c>
      <c r="K9" s="79">
        <v>442726.61</v>
      </c>
      <c r="L9" s="79">
        <v>449527</v>
      </c>
      <c r="M9" s="79">
        <v>456963</v>
      </c>
    </row>
    <row r="10" spans="1:13" ht="12.75">
      <c r="A10">
        <v>1996</v>
      </c>
      <c r="B10" s="79">
        <v>468532</v>
      </c>
      <c r="C10" s="79">
        <v>484249</v>
      </c>
      <c r="D10" s="79">
        <v>497703</v>
      </c>
      <c r="E10" s="79">
        <v>509514</v>
      </c>
      <c r="F10" s="79">
        <v>511173</v>
      </c>
      <c r="G10" s="79">
        <v>519219</v>
      </c>
      <c r="H10" s="79">
        <v>530254</v>
      </c>
      <c r="I10" s="79">
        <v>542387</v>
      </c>
      <c r="J10" s="79">
        <v>555064</v>
      </c>
      <c r="K10" s="79">
        <v>570760</v>
      </c>
      <c r="L10" s="79">
        <v>579442</v>
      </c>
      <c r="M10" s="79">
        <v>591176</v>
      </c>
    </row>
    <row r="11" spans="1:13" ht="12.75">
      <c r="A11">
        <v>1997</v>
      </c>
      <c r="B11" s="79">
        <v>641468</v>
      </c>
      <c r="C11" s="79">
        <v>660399</v>
      </c>
      <c r="D11" s="79">
        <v>666432</v>
      </c>
      <c r="E11" s="79">
        <v>682637</v>
      </c>
      <c r="F11" s="79">
        <v>689870</v>
      </c>
      <c r="G11" s="79">
        <v>698981</v>
      </c>
      <c r="H11" s="79">
        <v>716584</v>
      </c>
      <c r="I11" s="79">
        <v>729039</v>
      </c>
      <c r="J11" s="79">
        <v>743440</v>
      </c>
      <c r="K11" s="79">
        <v>762458</v>
      </c>
      <c r="L11" s="79">
        <v>754072</v>
      </c>
      <c r="M11" s="79">
        <v>764800</v>
      </c>
    </row>
    <row r="12" spans="1:13" ht="12.75">
      <c r="A12">
        <v>1998</v>
      </c>
      <c r="B12" s="79">
        <v>789935</v>
      </c>
      <c r="C12" s="79">
        <v>802246</v>
      </c>
      <c r="D12" s="79">
        <v>819917</v>
      </c>
      <c r="E12" s="79">
        <v>865666</v>
      </c>
      <c r="F12" s="79">
        <v>885865</v>
      </c>
      <c r="G12" s="79">
        <v>929528</v>
      </c>
      <c r="H12" s="79">
        <v>929234</v>
      </c>
      <c r="I12" s="79">
        <v>940489</v>
      </c>
      <c r="J12" s="79">
        <v>1002420</v>
      </c>
      <c r="K12" s="79">
        <v>1064572</v>
      </c>
      <c r="L12" s="79">
        <v>1092235</v>
      </c>
      <c r="M12" s="79">
        <v>1102208</v>
      </c>
    </row>
    <row r="13" spans="1:13" ht="12.75">
      <c r="A13">
        <v>1999</v>
      </c>
      <c r="B13" s="79">
        <v>1140969</v>
      </c>
      <c r="C13" s="79">
        <v>1176697</v>
      </c>
      <c r="D13" s="79">
        <v>1293050</v>
      </c>
      <c r="E13" s="79">
        <v>1386524</v>
      </c>
      <c r="F13" s="79">
        <v>1413659</v>
      </c>
      <c r="G13" s="79">
        <v>1423280</v>
      </c>
      <c r="H13" s="79">
        <v>1457622</v>
      </c>
      <c r="I13" s="79">
        <v>1456104</v>
      </c>
      <c r="J13" s="79">
        <v>1472150</v>
      </c>
      <c r="K13" s="79">
        <v>1506420</v>
      </c>
      <c r="L13" s="79">
        <v>1592009</v>
      </c>
      <c r="M13" s="79">
        <v>1694738</v>
      </c>
    </row>
    <row r="14" spans="1:13" ht="12.75">
      <c r="A14">
        <v>2000</v>
      </c>
      <c r="B14" s="79">
        <v>1892060</v>
      </c>
      <c r="C14" s="79">
        <v>2083892</v>
      </c>
      <c r="D14" s="79">
        <v>2301529</v>
      </c>
      <c r="E14" s="79">
        <v>2680053</v>
      </c>
      <c r="F14" s="63">
        <v>112.45</v>
      </c>
      <c r="G14" s="64">
        <v>118.74</v>
      </c>
      <c r="H14" s="64">
        <v>167.93</v>
      </c>
      <c r="I14" s="64">
        <v>169.29</v>
      </c>
      <c r="J14" s="64">
        <v>175.23</v>
      </c>
      <c r="K14" s="64">
        <v>179.07</v>
      </c>
      <c r="L14" s="64">
        <v>181.95</v>
      </c>
      <c r="M14" s="64">
        <v>186.28</v>
      </c>
    </row>
    <row r="15" spans="1:13" ht="12.75">
      <c r="A15">
        <v>2001</v>
      </c>
      <c r="B15" s="64">
        <v>202.49</v>
      </c>
      <c r="C15" s="64">
        <v>210.12</v>
      </c>
      <c r="D15" s="64">
        <v>214.92</v>
      </c>
      <c r="E15" s="65">
        <v>218.84</v>
      </c>
      <c r="F15" s="65">
        <v>218.17</v>
      </c>
      <c r="G15" s="65">
        <v>218.98</v>
      </c>
      <c r="H15" s="65">
        <v>219.35</v>
      </c>
      <c r="I15" s="65">
        <v>221.14</v>
      </c>
      <c r="J15" s="65">
        <v>226.26</v>
      </c>
      <c r="K15" s="65">
        <v>229.2</v>
      </c>
      <c r="L15" s="65">
        <v>235.29</v>
      </c>
      <c r="M15" s="65">
        <v>238.4</v>
      </c>
    </row>
    <row r="16" spans="1:13" ht="12.75">
      <c r="A16">
        <v>2002</v>
      </c>
      <c r="B16" s="65">
        <v>242.91</v>
      </c>
      <c r="C16" s="65">
        <v>245.43</v>
      </c>
      <c r="D16" s="65">
        <v>248.38</v>
      </c>
      <c r="E16" s="65">
        <v>250.99</v>
      </c>
      <c r="F16" s="65">
        <v>252.71</v>
      </c>
      <c r="G16" s="65">
        <v>252.79</v>
      </c>
      <c r="H16" s="65">
        <v>254.63</v>
      </c>
      <c r="I16" s="65">
        <v>256.54</v>
      </c>
      <c r="J16" s="65">
        <v>257.13</v>
      </c>
      <c r="K16" s="65">
        <v>261.59</v>
      </c>
      <c r="L16" s="65">
        <v>266.29</v>
      </c>
      <c r="M16" s="65">
        <v>268.04</v>
      </c>
    </row>
    <row r="17" spans="1:13" ht="12.75">
      <c r="A17">
        <v>2003</v>
      </c>
      <c r="B17" s="65">
        <v>275.86</v>
      </c>
      <c r="C17" s="65">
        <v>253.1</v>
      </c>
      <c r="D17" s="65">
        <v>254.39</v>
      </c>
      <c r="E17" s="65">
        <v>256.61</v>
      </c>
      <c r="F17" s="65">
        <v>257.15</v>
      </c>
      <c r="G17" s="65">
        <v>257.93</v>
      </c>
      <c r="H17" s="65">
        <v>258.58</v>
      </c>
      <c r="I17" s="65">
        <v>260.87</v>
      </c>
      <c r="J17" s="65">
        <v>262.66</v>
      </c>
      <c r="K17" s="65">
        <v>263.78</v>
      </c>
      <c r="L17" s="65">
        <v>264.54</v>
      </c>
      <c r="M17" s="65">
        <v>264.7</v>
      </c>
    </row>
    <row r="18" spans="1:13" ht="12.75">
      <c r="A18">
        <v>2004</v>
      </c>
      <c r="B18" s="65">
        <v>267.2</v>
      </c>
      <c r="C18" s="65">
        <v>269.15</v>
      </c>
      <c r="D18" s="65">
        <v>270.14</v>
      </c>
      <c r="E18" s="66">
        <v>271.71</v>
      </c>
      <c r="F18" s="66">
        <v>271.42</v>
      </c>
      <c r="G18" s="66">
        <v>271.03</v>
      </c>
      <c r="H18" s="66">
        <v>269.42</v>
      </c>
      <c r="I18" s="66">
        <v>269.49</v>
      </c>
      <c r="J18" s="66">
        <v>270.21</v>
      </c>
      <c r="K18" s="66">
        <v>271.16</v>
      </c>
      <c r="L18" s="66">
        <v>272.54</v>
      </c>
      <c r="M18" s="66"/>
    </row>
    <row r="20" ht="12.75">
      <c r="B20" s="62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2007-06-29T19:19:25Z</cp:lastPrinted>
  <dcterms:created xsi:type="dcterms:W3CDTF">1997-11-27T14:15:43Z</dcterms:created>
  <dcterms:modified xsi:type="dcterms:W3CDTF">2014-03-07T21:07:32Z</dcterms:modified>
  <cp:category/>
  <cp:version/>
  <cp:contentType/>
  <cp:contentStatus/>
</cp:coreProperties>
</file>