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80" windowWidth="4785" windowHeight="4245" firstSheet="4" activeTab="4"/>
  </bookViews>
  <sheets>
    <sheet name="No.Miembros" sheetId="1" state="hidden" r:id="rId1"/>
    <sheet name="ponderacion" sheetId="2" state="hidden" r:id="rId2"/>
    <sheet name="PRECIOS" sheetId="3" state="hidden" r:id="rId3"/>
    <sheet name="MATRIZ" sheetId="4" state="hidden" r:id="rId4"/>
    <sheet name="NACIONAL" sheetId="5" r:id="rId5"/>
    <sheet name="Hist.Can.Fam.Bas." sheetId="6" state="hidden" r:id="rId6"/>
    <sheet name="Hist.Can.Fam.Pob.Vit." sheetId="7" state="hidden" r:id="rId7"/>
  </sheets>
  <definedNames>
    <definedName name="_xlnm.Print_Area" localSheetId="5">'Hist.Can.Fam.Bas.'!$A$30:$M$56</definedName>
    <definedName name="_xlnm.Print_Titles" localSheetId="3">'MATRIZ'!$6:$7</definedName>
    <definedName name="_xlnm.Print_Titles" localSheetId="0">'No.Miembros'!$2:$4</definedName>
    <definedName name="_xlnm.Print_Titles" localSheetId="2">'PRECIOS'!$1:$3</definedName>
  </definedNames>
  <calcPr fullCalcOnLoad="1"/>
</workbook>
</file>

<file path=xl/sharedStrings.xml><?xml version="1.0" encoding="utf-8"?>
<sst xmlns="http://schemas.openxmlformats.org/spreadsheetml/2006/main" count="1065" uniqueCount="367">
  <si>
    <t xml:space="preserve"> </t>
  </si>
  <si>
    <t>ALIMENTOS Y BEBIDAS</t>
  </si>
  <si>
    <t>CEREALES Y DERIVADOS</t>
  </si>
  <si>
    <t>Arroz</t>
  </si>
  <si>
    <t>Fideo</t>
  </si>
  <si>
    <t>Pan</t>
  </si>
  <si>
    <t>CARNE Y PREPARACION</t>
  </si>
  <si>
    <t>Carne con hueso</t>
  </si>
  <si>
    <t>Carne sin hueso</t>
  </si>
  <si>
    <t>Carne de pollo</t>
  </si>
  <si>
    <t>PESCADO Y MARISCOS</t>
  </si>
  <si>
    <t>Pescado</t>
  </si>
  <si>
    <t>GRASAS Y ACEITES</t>
  </si>
  <si>
    <t xml:space="preserve">Aceite vegetal  </t>
  </si>
  <si>
    <t xml:space="preserve">Manteca vegetal    </t>
  </si>
  <si>
    <t>LECHE LACTEOS Y HUEVOS</t>
  </si>
  <si>
    <t>Huevo de gallina</t>
  </si>
  <si>
    <t>Leche Fresca</t>
  </si>
  <si>
    <t>Queso</t>
  </si>
  <si>
    <t>VERDURAS FRESCAS</t>
  </si>
  <si>
    <t>Arveja tierna</t>
  </si>
  <si>
    <t>Cebolla blanca</t>
  </si>
  <si>
    <t>Cebolla colorada</t>
  </si>
  <si>
    <t>Choclo</t>
  </si>
  <si>
    <t>Haba tierna</t>
  </si>
  <si>
    <t>TUBERCULOS Y DERIVADOS</t>
  </si>
  <si>
    <t>Papa chola</t>
  </si>
  <si>
    <t>Yuca</t>
  </si>
  <si>
    <t>LEGUMINOSAS Y DERIVADOS</t>
  </si>
  <si>
    <t>Lenteja</t>
  </si>
  <si>
    <t>FRUTAS FRESCAS</t>
  </si>
  <si>
    <t>Aguacate</t>
  </si>
  <si>
    <t>Naranja</t>
  </si>
  <si>
    <t>Naranjilla</t>
  </si>
  <si>
    <t>Guineo</t>
  </si>
  <si>
    <t xml:space="preserve">Sal                  </t>
  </si>
  <si>
    <t>CAFE Y BEBIDAS GASEO.</t>
  </si>
  <si>
    <t xml:space="preserve">Cola (tienda)      </t>
  </si>
  <si>
    <t>OTROS PRODUCTOS ALIMEN.</t>
  </si>
  <si>
    <t xml:space="preserve">Gelatina             </t>
  </si>
  <si>
    <t>ALIMENTOS Y B. FUERA H.</t>
  </si>
  <si>
    <t>Almuerzo</t>
  </si>
  <si>
    <t>VIVIENDA</t>
  </si>
  <si>
    <t>ALQUILER (Departamento)</t>
  </si>
  <si>
    <t>ALUMBRADO Y COMBUSTIBLE</t>
  </si>
  <si>
    <t xml:space="preserve">Gas                  </t>
  </si>
  <si>
    <t>LAVADO Y MANTENIMIENTO</t>
  </si>
  <si>
    <t xml:space="preserve">Agua           </t>
  </si>
  <si>
    <t xml:space="preserve">Detergente         </t>
  </si>
  <si>
    <t>OTROS ARTEFACTOS HOGAR</t>
  </si>
  <si>
    <t>Escoba</t>
  </si>
  <si>
    <t>Foco de luz</t>
  </si>
  <si>
    <t>INDUMENTARIA</t>
  </si>
  <si>
    <t>TELAS, HECHURAS Y ACC.</t>
  </si>
  <si>
    <t>ROPA CONFECCIONADA HOMBRE</t>
  </si>
  <si>
    <t xml:space="preserve">Camisa </t>
  </si>
  <si>
    <t>Calzoncillo</t>
  </si>
  <si>
    <t>Zapatos de hombre</t>
  </si>
  <si>
    <t>ROPA CONFECCIONADA MUJER</t>
  </si>
  <si>
    <t>Blusa</t>
  </si>
  <si>
    <t xml:space="preserve">Calzonaria </t>
  </si>
  <si>
    <t>Falda</t>
  </si>
  <si>
    <t>Medias</t>
  </si>
  <si>
    <t>Zapatos de mujer</t>
  </si>
  <si>
    <t>MISCELANEOS</t>
  </si>
  <si>
    <t>CUIDADO DE LA SALUD</t>
  </si>
  <si>
    <t>Medicinas y remedios</t>
  </si>
  <si>
    <t>CUIDADO Y ART. PERSONALES</t>
  </si>
  <si>
    <t>Corte de pelo</t>
  </si>
  <si>
    <t xml:space="preserve">Desodorante         </t>
  </si>
  <si>
    <t xml:space="preserve">Pasta dental        </t>
  </si>
  <si>
    <t>RECREO MATE. LECTURA</t>
  </si>
  <si>
    <t>Cine</t>
  </si>
  <si>
    <t>TABACO</t>
  </si>
  <si>
    <t xml:space="preserve">Cigarrillos           </t>
  </si>
  <si>
    <t>EDUCACION</t>
  </si>
  <si>
    <t>Utiles Primaria</t>
  </si>
  <si>
    <t>Utiles Secundaria</t>
  </si>
  <si>
    <t>TRANSPORTE</t>
  </si>
  <si>
    <t>Bus urbano</t>
  </si>
  <si>
    <t>GRUPOS,SUBGRUPOS</t>
  </si>
  <si>
    <t>UNIDAD DE</t>
  </si>
  <si>
    <t>PONDERACION</t>
  </si>
  <si>
    <t>CANTIDAD</t>
  </si>
  <si>
    <t xml:space="preserve">     NOVIEMBRE   1882</t>
  </si>
  <si>
    <t xml:space="preserve">   JULIO  1996</t>
  </si>
  <si>
    <t>Y ARTICULOS</t>
  </si>
  <si>
    <t>MEDIDA</t>
  </si>
  <si>
    <t>FIJA DE CONSUMO</t>
  </si>
  <si>
    <t>DE CONSUMO</t>
  </si>
  <si>
    <t>NOVIEMBRE 1982</t>
  </si>
  <si>
    <t>VALOR</t>
  </si>
  <si>
    <t>PRECIO</t>
  </si>
  <si>
    <t>deficit</t>
  </si>
  <si>
    <t>POND.DEFIN</t>
  </si>
  <si>
    <t>CANT FIJA  BASE</t>
  </si>
  <si>
    <t xml:space="preserve">        </t>
  </si>
  <si>
    <t>COSTO ACTUAL</t>
  </si>
  <si>
    <t>REST. C. OBS.</t>
  </si>
  <si>
    <t>INGR. ACTUAL</t>
  </si>
  <si>
    <t xml:space="preserve">SIN CONS.NO </t>
  </si>
  <si>
    <t>NUEV.DISTRIB.</t>
  </si>
  <si>
    <t>PON. INVERSA</t>
  </si>
  <si>
    <t>INVER.AJUST.</t>
  </si>
  <si>
    <t>REST. B o S</t>
  </si>
  <si>
    <t>CAN NO CONS</t>
  </si>
  <si>
    <t>CAN. FIJA BAS</t>
  </si>
  <si>
    <t>VAL. A DISTRIB</t>
  </si>
  <si>
    <t>DEJCON&lt;BASE</t>
  </si>
  <si>
    <t>DEJ CON C. OBS</t>
  </si>
  <si>
    <t>VAL  DIST  C.OBS</t>
  </si>
  <si>
    <t>VAL AJUS A DIST</t>
  </si>
  <si>
    <t>CAN DEJA  CONS</t>
  </si>
  <si>
    <t>val deja de cons</t>
  </si>
  <si>
    <t>val a dist en ca obs</t>
  </si>
  <si>
    <t>valor ajus. a dist</t>
  </si>
  <si>
    <t>(en valor)</t>
  </si>
  <si>
    <t>valor de restric cons</t>
  </si>
  <si>
    <t>TOTAL</t>
  </si>
  <si>
    <t>Kilo</t>
  </si>
  <si>
    <t>198 gramos</t>
  </si>
  <si>
    <t>Litro</t>
  </si>
  <si>
    <t>500 gramos</t>
  </si>
  <si>
    <t>kilo</t>
  </si>
  <si>
    <t>2 Kilos</t>
  </si>
  <si>
    <t>355 cc</t>
  </si>
  <si>
    <t>85 gramos</t>
  </si>
  <si>
    <t>unidad</t>
  </si>
  <si>
    <t>ALQUILER</t>
  </si>
  <si>
    <t>Mensual</t>
  </si>
  <si>
    <t>120 kw</t>
  </si>
  <si>
    <t>14 Kilos</t>
  </si>
  <si>
    <t>30 m3</t>
  </si>
  <si>
    <t>200 gramos</t>
  </si>
  <si>
    <t>250 gramos</t>
  </si>
  <si>
    <t>rollo</t>
  </si>
  <si>
    <t>metro</t>
  </si>
  <si>
    <t>*</t>
  </si>
  <si>
    <t>par</t>
  </si>
  <si>
    <t>consulta</t>
  </si>
  <si>
    <t>corte</t>
  </si>
  <si>
    <t>113 gramos</t>
  </si>
  <si>
    <t>90 gramos</t>
  </si>
  <si>
    <t>130 gramos</t>
  </si>
  <si>
    <t xml:space="preserve">Shampoo             </t>
  </si>
  <si>
    <t>100 gramos</t>
  </si>
  <si>
    <t>entrada</t>
  </si>
  <si>
    <t>entrada g.</t>
  </si>
  <si>
    <t>20 unidades</t>
  </si>
  <si>
    <t>pasaje</t>
  </si>
  <si>
    <t xml:space="preserve"> BASE: Noviembre 1982 = 100</t>
  </si>
  <si>
    <t>Encarecimiento</t>
  </si>
  <si>
    <t>Costo</t>
  </si>
  <si>
    <t>Distribución</t>
  </si>
  <si>
    <t>Grupos</t>
  </si>
  <si>
    <t>actual</t>
  </si>
  <si>
    <t>del</t>
  </si>
  <si>
    <t>y subgrupos</t>
  </si>
  <si>
    <t>Respecto</t>
  </si>
  <si>
    <t xml:space="preserve">en </t>
  </si>
  <si>
    <t>ingreso</t>
  </si>
  <si>
    <t>de consumo</t>
  </si>
  <si>
    <t>en</t>
  </si>
  <si>
    <t>% del</t>
  </si>
  <si>
    <t>costo</t>
  </si>
  <si>
    <t>01</t>
  </si>
  <si>
    <t>02</t>
  </si>
  <si>
    <t>03</t>
  </si>
  <si>
    <t>Cereales y derivados</t>
  </si>
  <si>
    <t>04</t>
  </si>
  <si>
    <t>Carnes y preparaciones</t>
  </si>
  <si>
    <t>05</t>
  </si>
  <si>
    <t>Pescados y Mariscos</t>
  </si>
  <si>
    <t>06</t>
  </si>
  <si>
    <t>Grasas y aceites comestibles</t>
  </si>
  <si>
    <t>07</t>
  </si>
  <si>
    <t>Leche,prod. lácteos y huevos</t>
  </si>
  <si>
    <t>08</t>
  </si>
  <si>
    <t>Verduras frescas</t>
  </si>
  <si>
    <t>09</t>
  </si>
  <si>
    <t>Tubérculos y derivados</t>
  </si>
  <si>
    <t>10</t>
  </si>
  <si>
    <t>Leguminosas y derivados</t>
  </si>
  <si>
    <t>11</t>
  </si>
  <si>
    <t>Frutas frescas</t>
  </si>
  <si>
    <t>12</t>
  </si>
  <si>
    <t>Azúcar, sal y condimentos</t>
  </si>
  <si>
    <t>13</t>
  </si>
  <si>
    <t>14</t>
  </si>
  <si>
    <t>Otros prod. alimenticios</t>
  </si>
  <si>
    <t>15</t>
  </si>
  <si>
    <t>Alim.  y  beb.  cons.  fuera del hogar</t>
  </si>
  <si>
    <t>16</t>
  </si>
  <si>
    <t>17</t>
  </si>
  <si>
    <t>Alquiler 1/</t>
  </si>
  <si>
    <t>18</t>
  </si>
  <si>
    <t>Alumbrado y combustible</t>
  </si>
  <si>
    <t>19</t>
  </si>
  <si>
    <t>Lavado y mantenimiento</t>
  </si>
  <si>
    <t>20</t>
  </si>
  <si>
    <t>Otros artefactos del hogar</t>
  </si>
  <si>
    <t>21</t>
  </si>
  <si>
    <t>22</t>
  </si>
  <si>
    <t>23</t>
  </si>
  <si>
    <t>Ropa confec. para hombre</t>
  </si>
  <si>
    <t>24</t>
  </si>
  <si>
    <t>Ropa confec. para mujer</t>
  </si>
  <si>
    <t>25</t>
  </si>
  <si>
    <t>Servicio de limpieza</t>
  </si>
  <si>
    <t>26</t>
  </si>
  <si>
    <t>27</t>
  </si>
  <si>
    <t>Cuidado de la salud</t>
  </si>
  <si>
    <t>28</t>
  </si>
  <si>
    <t>Cuidado y artíc. personales</t>
  </si>
  <si>
    <t>29</t>
  </si>
  <si>
    <t>Recreo, material de lectura</t>
  </si>
  <si>
    <t>30</t>
  </si>
  <si>
    <t>Tabaco</t>
  </si>
  <si>
    <t>31</t>
  </si>
  <si>
    <t>Educación</t>
  </si>
  <si>
    <t>32</t>
  </si>
  <si>
    <t>Transporte</t>
  </si>
  <si>
    <t>1/ Corresponde a un departamento</t>
  </si>
  <si>
    <t>AZUCAR, SAL Y CONDIMENTOS</t>
  </si>
  <si>
    <t>SERVICIO DE LIMPIEZA</t>
  </si>
  <si>
    <t>Café, té y bebidas gaseosas</t>
  </si>
  <si>
    <t>Restricción</t>
  </si>
  <si>
    <t>en el consumo</t>
  </si>
  <si>
    <t>Limón</t>
  </si>
  <si>
    <t>Plátano</t>
  </si>
  <si>
    <t>Azúcar</t>
  </si>
  <si>
    <t>Café molido</t>
  </si>
  <si>
    <t>Fréjol tierno</t>
  </si>
  <si>
    <t>Tomate riñón</t>
  </si>
  <si>
    <t>Fréjol seco</t>
  </si>
  <si>
    <t xml:space="preserve">Cola (salón)       </t>
  </si>
  <si>
    <t xml:space="preserve">Jabón para lavar   </t>
  </si>
  <si>
    <t>Papel higiénico</t>
  </si>
  <si>
    <t>Género de algodón</t>
  </si>
  <si>
    <t>Pantalón hombre</t>
  </si>
  <si>
    <t>Pantalón mujer</t>
  </si>
  <si>
    <t>Reparación de calzado</t>
  </si>
  <si>
    <t>Atención médica</t>
  </si>
  <si>
    <t xml:space="preserve">Jabón de tocador     </t>
  </si>
  <si>
    <t>Fútbol</t>
  </si>
  <si>
    <t>Periódico</t>
  </si>
  <si>
    <t>Matrícula secundaria</t>
  </si>
  <si>
    <t>Código</t>
  </si>
  <si>
    <t>Artículo</t>
  </si>
  <si>
    <r>
      <t>*</t>
    </r>
    <r>
      <rPr>
        <sz val="7"/>
        <rFont val="Arial"/>
        <family val="2"/>
      </rPr>
      <t xml:space="preserve">  La restricción en el consumo no afecta a los artículos:  sal, alquiler, energía eléctrica, gas, agua, matrícula secundaria y bus urbano.</t>
    </r>
  </si>
  <si>
    <t>Carne y preparaciones</t>
  </si>
  <si>
    <t>Pescados y mariscos</t>
  </si>
  <si>
    <t>Leche, productos lácteos y huevos</t>
  </si>
  <si>
    <t>Otros productos alimenticios</t>
  </si>
  <si>
    <t>Alimentos y bebidas consumidas fuera del hogar</t>
  </si>
  <si>
    <t>Telas, hechuras y accesorios</t>
  </si>
  <si>
    <t>Ropa confeccionada hombre</t>
  </si>
  <si>
    <t>Ropa confeccionada mujer</t>
  </si>
  <si>
    <t>Cuidado y artículos personales</t>
  </si>
  <si>
    <t>Energía eléctrica</t>
  </si>
  <si>
    <t>Atún enlatado</t>
  </si>
  <si>
    <t>Maní</t>
  </si>
  <si>
    <t>Género de lana</t>
  </si>
  <si>
    <t>Shampoo</t>
  </si>
  <si>
    <t xml:space="preserve">Atún enlatado        </t>
  </si>
  <si>
    <t>Atención medica</t>
  </si>
  <si>
    <t>Matricula secundaria</t>
  </si>
  <si>
    <t>Fréol seco</t>
  </si>
  <si>
    <t>Genero de lana</t>
  </si>
  <si>
    <t>naranja</t>
  </si>
  <si>
    <t>Unidad</t>
  </si>
  <si>
    <t>15 Kilos</t>
  </si>
  <si>
    <t>180 kw</t>
  </si>
  <si>
    <t>a</t>
  </si>
  <si>
    <t>Anual</t>
  </si>
  <si>
    <t>NACIONAL</t>
  </si>
  <si>
    <t>Dólares</t>
  </si>
  <si>
    <t>Grupos, Subgrupos</t>
  </si>
  <si>
    <t>Cant.Fija Base</t>
  </si>
  <si>
    <t>y Artículos</t>
  </si>
  <si>
    <t>POND.DEFIN.</t>
  </si>
  <si>
    <t xml:space="preserve">CANT FIJA  </t>
  </si>
  <si>
    <t>Nov.82</t>
  </si>
  <si>
    <t>de Consumo</t>
  </si>
  <si>
    <t>Medida</t>
  </si>
  <si>
    <t>1 Miem.</t>
  </si>
  <si>
    <t>2 Miem.</t>
  </si>
  <si>
    <t>3 Miem.</t>
  </si>
  <si>
    <t>4 Miem.</t>
  </si>
  <si>
    <t>5 Miembros</t>
  </si>
  <si>
    <t>ALQUILER (departamento)</t>
  </si>
  <si>
    <t>subcanasta</t>
  </si>
  <si>
    <t>Vez</t>
  </si>
  <si>
    <t>4 Miembros</t>
  </si>
  <si>
    <t>canasta basica 4 miembros</t>
  </si>
  <si>
    <t>ponderación</t>
  </si>
  <si>
    <t>sin consumo</t>
  </si>
  <si>
    <t>nueva distribución</t>
  </si>
  <si>
    <t>Ponder. Inversa</t>
  </si>
  <si>
    <t>Pon.Inv.Ajus</t>
  </si>
  <si>
    <t>Jun.00</t>
  </si>
  <si>
    <t>-</t>
  </si>
  <si>
    <t>CANASTA FAMILIAR (BASICA)</t>
  </si>
  <si>
    <t>Canasta Básica Nacional</t>
  </si>
  <si>
    <t>CAN. VITAL</t>
  </si>
  <si>
    <t>CAN. BASICA</t>
  </si>
  <si>
    <t>CANASTA FAMILIAR BASICA</t>
  </si>
  <si>
    <t>%</t>
  </si>
  <si>
    <t>JuL.2000</t>
  </si>
  <si>
    <t>MESES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</si>
  <si>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</si>
  <si>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</si>
  <si>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</si>
  <si>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</si>
  <si>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</si>
  <si>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</si>
  <si>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</si>
  <si>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</si>
  <si>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</si>
  <si>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</si>
  <si>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Septiem.</t>
  </si>
  <si>
    <t>Noviem.</t>
  </si>
  <si>
    <t>Diciem.</t>
  </si>
  <si>
    <t>1.019.271</t>
  </si>
  <si>
    <t>1.036.873</t>
  </si>
  <si>
    <t>1.053.989</t>
  </si>
  <si>
    <t>1.083.559</t>
  </si>
  <si>
    <t>1.113.233</t>
  </si>
  <si>
    <t>1.143.099</t>
  </si>
  <si>
    <t>1.165.373</t>
  </si>
  <si>
    <t>1.175.295</t>
  </si>
  <si>
    <t>1.201.035</t>
  </si>
  <si>
    <t>1.225.233</t>
  </si>
  <si>
    <t>1.249.701</t>
  </si>
  <si>
    <t>1.279.034</t>
  </si>
  <si>
    <t>1.311.802</t>
  </si>
  <si>
    <t>1.329.621</t>
  </si>
  <si>
    <t>1.351.061</t>
  </si>
  <si>
    <t>1.422.699</t>
  </si>
  <si>
    <t>1.470.664</t>
  </si>
  <si>
    <t>1.494.343</t>
  </si>
  <si>
    <t>1.528.371</t>
  </si>
  <si>
    <t>1.542.238</t>
  </si>
  <si>
    <t>1.565.405</t>
  </si>
  <si>
    <t>1.603.613</t>
  </si>
  <si>
    <t>1.630.201</t>
  </si>
  <si>
    <t>1.661.520</t>
  </si>
  <si>
    <t>1.701.392</t>
  </si>
  <si>
    <t>1.730.599</t>
  </si>
  <si>
    <t>1.756.143</t>
  </si>
  <si>
    <t>VARIACIONAS PORCENTUALES MENSUALES</t>
  </si>
  <si>
    <t>VARIACIONES PORCENTULES ANUALES</t>
  </si>
  <si>
    <t>Septiembre</t>
  </si>
  <si>
    <t>Noviembre</t>
  </si>
  <si>
    <t>Diciembre</t>
  </si>
  <si>
    <t>SERIE HISTÓRICA  -  COSTO CANASTA FAMILIAR POBRESA O VITAL  .- Dic 1992  a   Diciembre 2004</t>
  </si>
  <si>
    <t>SERIE HISTÓRICA  -  COSTO CANASTA FAMILIAR BASICA  .- Nov 1982  a   Diciembre 2004</t>
  </si>
  <si>
    <t>SERIE HISTÓRICA  -  COSTO EN DOLARES CANASTA FAMILIAR BASICA  .- Nov 1982  a   Diciembre 2004</t>
  </si>
  <si>
    <t>PARA EL ANÁLISIS DE LA RELACIÓN INFLACIÓN - REMUNERACIÓN</t>
  </si>
  <si>
    <t xml:space="preserve">  CANASTA FAMILIAR BÁSICA </t>
  </si>
  <si>
    <t>0.6087</t>
  </si>
  <si>
    <t>1.6677</t>
  </si>
  <si>
    <t>2.6055</t>
  </si>
  <si>
    <t>0.3951</t>
  </si>
  <si>
    <t>0.3848</t>
  </si>
  <si>
    <t>JULIO 2007</t>
  </si>
  <si>
    <t>Jun.2007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</si>
</sst>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* #,##0_ ;_ * \-#,##0_ ;_ * &quot;-&quot;_ ;_ @_ "/>
    <numFmt numFmtId="184" formatCode="_ &quot;S/.&quot;\ * #,##0.00_ ;_ &quot;S/.&quot;\ * \-#,##0.00_ ;_ &quot;S/.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;;;"/>
    <numFmt numFmtId="197" formatCode="0.000000_)"/>
    <numFmt numFmtId="198" formatCode="0.00_)"/>
    <numFmt numFmtId="199" formatCode="0.000000"/>
    <numFmt numFmtId="200" formatCode="0.0000"/>
    <numFmt numFmtId="201" formatCode="0.000"/>
    <numFmt numFmtId="202" formatCode="0.00000_)"/>
    <numFmt numFmtId="203" formatCode="0.0"/>
    <numFmt numFmtId="204" formatCode="0.0_)"/>
    <numFmt numFmtId="205" formatCode="0.000000000"/>
    <numFmt numFmtId="206" formatCode="General_)"/>
    <numFmt numFmtId="207" formatCode="#,##0.000000;\-#,##0.000000"/>
    <numFmt numFmtId="208" formatCode="0.00000"/>
    <numFmt numFmtId="209" formatCode="#,##0.0"/>
    <numFmt numFmtId="210" formatCode="0.00000000"/>
    <numFmt numFmtId="211" formatCode="0.0000000000"/>
    <numFmt numFmtId="212" formatCode="0.0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0"/>
    </font>
    <font>
      <sz val="7"/>
      <name val="CG Times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197" fontId="0" fillId="0" borderId="0" xfId="0" applyNumberFormat="1" applyFont="1" applyAlignment="1" applyProtection="1">
      <alignment/>
      <protection/>
    </xf>
    <xf numFmtId="198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197" fontId="4" fillId="0" borderId="0" xfId="0" applyNumberFormat="1" applyFont="1" applyAlignment="1" applyProtection="1">
      <alignment/>
      <protection locked="0"/>
    </xf>
    <xf numFmtId="19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98" fontId="0" fillId="0" borderId="0" xfId="0" applyNumberFormat="1" applyFont="1" applyAlignment="1" applyProtection="1">
      <alignment/>
      <protection locked="0"/>
    </xf>
    <xf numFmtId="198" fontId="0" fillId="0" borderId="0" xfId="0" applyNumberFormat="1" applyAlignment="1">
      <alignment/>
    </xf>
    <xf numFmtId="199" fontId="0" fillId="0" borderId="0" xfId="0" applyNumberFormat="1" applyAlignment="1">
      <alignment/>
    </xf>
    <xf numFmtId="2" fontId="0" fillId="0" borderId="0" xfId="0" applyNumberFormat="1" applyAlignment="1">
      <alignment/>
    </xf>
    <xf numFmtId="205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1" xfId="0" applyFont="1" applyBorder="1" applyAlignment="1">
      <alignment/>
    </xf>
    <xf numFmtId="0" fontId="9" fillId="0" borderId="13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204" fontId="9" fillId="0" borderId="0" xfId="0" applyNumberFormat="1" applyFont="1" applyAlignment="1" applyProtection="1">
      <alignment/>
      <protection/>
    </xf>
    <xf numFmtId="0" fontId="9" fillId="0" borderId="15" xfId="0" applyFont="1" applyBorder="1" applyAlignment="1">
      <alignment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>
      <alignment/>
    </xf>
    <xf numFmtId="0" fontId="9" fillId="0" borderId="17" xfId="0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 applyProtection="1">
      <alignment horizontal="center" vertical="top"/>
      <protection/>
    </xf>
    <xf numFmtId="0" fontId="8" fillId="0" borderId="0" xfId="0" applyFont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 applyProtection="1">
      <alignment horizontal="center" vertical="top"/>
      <protection/>
    </xf>
    <xf numFmtId="0" fontId="9" fillId="0" borderId="15" xfId="0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8" fillId="0" borderId="14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9" fillId="0" borderId="13" xfId="0" applyFont="1" applyBorder="1" applyAlignment="1" applyProtection="1">
      <alignment horizontal="centerContinuous"/>
      <protection/>
    </xf>
    <xf numFmtId="0" fontId="8" fillId="0" borderId="0" xfId="0" applyFont="1" applyAlignment="1">
      <alignment/>
    </xf>
    <xf numFmtId="203" fontId="8" fillId="0" borderId="0" xfId="0" applyNumberFormat="1" applyFont="1" applyAlignment="1">
      <alignment/>
    </xf>
    <xf numFmtId="203" fontId="9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20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203" fontId="0" fillId="0" borderId="0" xfId="0" applyNumberFormat="1" applyFill="1" applyAlignment="1">
      <alignment/>
    </xf>
    <xf numFmtId="0" fontId="9" fillId="0" borderId="13" xfId="0" applyFont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203" fontId="12" fillId="0" borderId="0" xfId="0" applyNumberFormat="1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17" fontId="0" fillId="0" borderId="0" xfId="0" applyNumberFormat="1" applyAlignment="1">
      <alignment/>
    </xf>
    <xf numFmtId="0" fontId="9" fillId="0" borderId="14" xfId="0" applyFont="1" applyBorder="1" applyAlignment="1">
      <alignment horizontal="centerContinuous"/>
    </xf>
    <xf numFmtId="200" fontId="0" fillId="0" borderId="0" xfId="0" applyNumberFormat="1" applyAlignment="1">
      <alignment/>
    </xf>
    <xf numFmtId="0" fontId="9" fillId="33" borderId="10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justify"/>
      <protection/>
    </xf>
    <xf numFmtId="0" fontId="7" fillId="33" borderId="10" xfId="0" applyFont="1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>
      <alignment horizontal="center" vertical="justify"/>
    </xf>
    <xf numFmtId="0" fontId="7" fillId="33" borderId="11" xfId="0" applyFont="1" applyFill="1" applyBorder="1" applyAlignment="1">
      <alignment horizontal="center"/>
    </xf>
    <xf numFmtId="0" fontId="9" fillId="33" borderId="13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197" fontId="9" fillId="33" borderId="13" xfId="0" applyNumberFormat="1" applyFont="1" applyFill="1" applyBorder="1" applyAlignment="1" applyProtection="1">
      <alignment horizontal="center" vertical="justify"/>
      <protection/>
    </xf>
    <xf numFmtId="0" fontId="7" fillId="33" borderId="13" xfId="0" applyFont="1" applyFill="1" applyBorder="1" applyAlignment="1">
      <alignment horizontal="center" vertical="justify"/>
    </xf>
    <xf numFmtId="0" fontId="7" fillId="33" borderId="13" xfId="0" applyFont="1" applyFill="1" applyBorder="1" applyAlignment="1">
      <alignment horizontal="center"/>
    </xf>
    <xf numFmtId="197" fontId="8" fillId="0" borderId="0" xfId="0" applyNumberFormat="1" applyFont="1" applyAlignment="1" applyProtection="1">
      <alignment/>
      <protection/>
    </xf>
    <xf numFmtId="198" fontId="8" fillId="0" borderId="0" xfId="0" applyNumberFormat="1" applyFont="1" applyAlignment="1" applyProtection="1">
      <alignment/>
      <protection/>
    </xf>
    <xf numFmtId="198" fontId="8" fillId="33" borderId="0" xfId="0" applyNumberFormat="1" applyFont="1" applyFill="1" applyAlignment="1" applyProtection="1">
      <alignment/>
      <protection/>
    </xf>
    <xf numFmtId="0" fontId="16" fillId="0" borderId="0" xfId="0" applyFont="1" applyAlignment="1" applyProtection="1">
      <alignment horizontal="left"/>
      <protection locked="0"/>
    </xf>
    <xf numFmtId="197" fontId="16" fillId="0" borderId="0" xfId="0" applyNumberFormat="1" applyFont="1" applyAlignment="1" applyProtection="1">
      <alignment/>
      <protection locked="0"/>
    </xf>
    <xf numFmtId="198" fontId="16" fillId="33" borderId="0" xfId="0" applyNumberFormat="1" applyFont="1" applyFill="1" applyAlignment="1" applyProtection="1">
      <alignment/>
      <protection locked="0"/>
    </xf>
    <xf numFmtId="198" fontId="17" fillId="33" borderId="0" xfId="0" applyNumberFormat="1" applyFont="1" applyFill="1" applyAlignment="1" applyProtection="1">
      <alignment/>
      <protection/>
    </xf>
    <xf numFmtId="198" fontId="17" fillId="0" borderId="0" xfId="0" applyNumberFormat="1" applyFont="1" applyAlignment="1" applyProtection="1">
      <alignment/>
      <protection/>
    </xf>
    <xf numFmtId="198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198" fontId="16" fillId="33" borderId="0" xfId="0" applyNumberFormat="1" applyFont="1" applyFill="1" applyAlignment="1" applyProtection="1">
      <alignment/>
      <protection/>
    </xf>
    <xf numFmtId="0" fontId="0" fillId="33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196" fontId="5" fillId="33" borderId="20" xfId="0" applyNumberFormat="1" applyFont="1" applyFill="1" applyBorder="1" applyAlignment="1" applyProtection="1">
      <alignment/>
      <protection/>
    </xf>
    <xf numFmtId="196" fontId="5" fillId="33" borderId="20" xfId="0" applyNumberFormat="1" applyFont="1" applyFill="1" applyBorder="1" applyAlignment="1" applyProtection="1">
      <alignment horizontal="center"/>
      <protection/>
    </xf>
    <xf numFmtId="17" fontId="10" fillId="33" borderId="20" xfId="0" applyNumberFormat="1" applyFont="1" applyFill="1" applyBorder="1" applyAlignment="1">
      <alignment/>
    </xf>
    <xf numFmtId="2" fontId="5" fillId="33" borderId="20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7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>
      <alignment/>
    </xf>
    <xf numFmtId="197" fontId="0" fillId="33" borderId="14" xfId="0" applyNumberFormat="1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/>
      <protection/>
    </xf>
    <xf numFmtId="198" fontId="0" fillId="33" borderId="14" xfId="0" applyNumberFormat="1" applyFont="1" applyFill="1" applyBorder="1" applyAlignment="1" applyProtection="1">
      <alignment/>
      <protection/>
    </xf>
    <xf numFmtId="39" fontId="1" fillId="33" borderId="14" xfId="0" applyNumberFormat="1" applyFont="1" applyFill="1" applyBorder="1" applyAlignment="1" applyProtection="1">
      <alignment/>
      <protection/>
    </xf>
    <xf numFmtId="0" fontId="0" fillId="33" borderId="14" xfId="0" applyFill="1" applyBorder="1" applyAlignment="1">
      <alignment/>
    </xf>
    <xf numFmtId="39" fontId="0" fillId="33" borderId="14" xfId="0" applyNumberForma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202" fontId="0" fillId="33" borderId="14" xfId="0" applyNumberFormat="1" applyFont="1" applyFill="1" applyBorder="1" applyAlignment="1" applyProtection="1">
      <alignment/>
      <protection/>
    </xf>
    <xf numFmtId="2" fontId="0" fillId="33" borderId="14" xfId="0" applyNumberFormat="1" applyFill="1" applyBorder="1" applyAlignment="1">
      <alignment/>
    </xf>
    <xf numFmtId="201" fontId="0" fillId="33" borderId="14" xfId="0" applyNumberFormat="1" applyFill="1" applyBorder="1" applyAlignment="1">
      <alignment/>
    </xf>
    <xf numFmtId="39" fontId="0" fillId="33" borderId="19" xfId="0" applyNumberFormat="1" applyFill="1" applyBorder="1" applyAlignment="1">
      <alignment/>
    </xf>
    <xf numFmtId="198" fontId="1" fillId="0" borderId="0" xfId="0" applyNumberFormat="1" applyFont="1" applyAlignment="1">
      <alignment/>
    </xf>
    <xf numFmtId="0" fontId="0" fillId="34" borderId="0" xfId="0" applyFont="1" applyFill="1" applyAlignment="1" applyProtection="1">
      <alignment horizontal="center"/>
      <protection/>
    </xf>
    <xf numFmtId="0" fontId="5" fillId="34" borderId="20" xfId="0" applyFont="1" applyFill="1" applyBorder="1" applyAlignment="1">
      <alignment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>
      <alignment/>
    </xf>
    <xf numFmtId="199" fontId="0" fillId="34" borderId="0" xfId="0" applyNumberFormat="1" applyFont="1" applyFill="1" applyAlignment="1">
      <alignment/>
    </xf>
    <xf numFmtId="199" fontId="1" fillId="34" borderId="0" xfId="0" applyNumberFormat="1" applyFont="1" applyFill="1" applyAlignment="1">
      <alignment/>
    </xf>
    <xf numFmtId="4" fontId="1" fillId="34" borderId="14" xfId="0" applyNumberFormat="1" applyFont="1" applyFill="1" applyBorder="1" applyAlignment="1">
      <alignment/>
    </xf>
    <xf numFmtId="0" fontId="0" fillId="34" borderId="0" xfId="0" applyFill="1" applyAlignment="1">
      <alignment/>
    </xf>
    <xf numFmtId="197" fontId="0" fillId="34" borderId="0" xfId="0" applyNumberFormat="1" applyFill="1" applyAlignment="1">
      <alignment/>
    </xf>
    <xf numFmtId="0" fontId="0" fillId="34" borderId="14" xfId="0" applyFill="1" applyBorder="1" applyAlignment="1">
      <alignment/>
    </xf>
    <xf numFmtId="198" fontId="0" fillId="34" borderId="0" xfId="0" applyNumberFormat="1" applyFont="1" applyFill="1" applyAlignment="1" applyProtection="1">
      <alignment/>
      <protection/>
    </xf>
    <xf numFmtId="39" fontId="0" fillId="34" borderId="0" xfId="0" applyNumberFormat="1" applyFont="1" applyFill="1" applyAlignment="1" applyProtection="1">
      <alignment/>
      <protection/>
    </xf>
    <xf numFmtId="200" fontId="0" fillId="34" borderId="0" xfId="0" applyNumberFormat="1" applyFill="1" applyAlignment="1">
      <alignment/>
    </xf>
    <xf numFmtId="198" fontId="0" fillId="34" borderId="0" xfId="0" applyNumberFormat="1" applyFill="1" applyAlignment="1">
      <alignment/>
    </xf>
    <xf numFmtId="198" fontId="4" fillId="34" borderId="0" xfId="0" applyNumberFormat="1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/>
    </xf>
    <xf numFmtId="200" fontId="0" fillId="34" borderId="0" xfId="0" applyNumberFormat="1" applyFill="1" applyAlignment="1">
      <alignment horizontal="right"/>
    </xf>
    <xf numFmtId="197" fontId="0" fillId="34" borderId="14" xfId="0" applyNumberFormat="1" applyFont="1" applyFill="1" applyBorder="1" applyAlignment="1" applyProtection="1">
      <alignment/>
      <protection/>
    </xf>
    <xf numFmtId="207" fontId="1" fillId="34" borderId="14" xfId="0" applyNumberFormat="1" applyFont="1" applyFill="1" applyBorder="1" applyAlignment="1" applyProtection="1">
      <alignment/>
      <protection/>
    </xf>
    <xf numFmtId="207" fontId="0" fillId="34" borderId="0" xfId="0" applyNumberFormat="1" applyFont="1" applyFill="1" applyAlignment="1" applyProtection="1">
      <alignment/>
      <protection/>
    </xf>
    <xf numFmtId="207" fontId="4" fillId="34" borderId="0" xfId="0" applyNumberFormat="1" applyFont="1" applyFill="1" applyAlignment="1" applyProtection="1">
      <alignment/>
      <protection locked="0"/>
    </xf>
    <xf numFmtId="2" fontId="1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197" fontId="0" fillId="34" borderId="0" xfId="0" applyNumberFormat="1" applyFont="1" applyFill="1" applyAlignment="1" applyProtection="1">
      <alignment/>
      <protection/>
    </xf>
    <xf numFmtId="197" fontId="4" fillId="34" borderId="0" xfId="0" applyNumberFormat="1" applyFont="1" applyFill="1" applyAlignment="1" applyProtection="1">
      <alignment/>
      <protection locked="0"/>
    </xf>
    <xf numFmtId="0" fontId="0" fillId="35" borderId="0" xfId="0" applyFont="1" applyFill="1" applyAlignment="1" applyProtection="1">
      <alignment horizontal="left"/>
      <protection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33" borderId="0" xfId="0" applyFont="1" applyFill="1" applyAlignment="1">
      <alignment/>
    </xf>
    <xf numFmtId="0" fontId="7" fillId="36" borderId="11" xfId="0" applyFont="1" applyFill="1" applyBorder="1" applyAlignment="1">
      <alignment horizontal="center" vertical="justify"/>
    </xf>
    <xf numFmtId="0" fontId="7" fillId="36" borderId="13" xfId="0" applyFont="1" applyFill="1" applyBorder="1" applyAlignment="1">
      <alignment horizontal="center" vertical="justify"/>
    </xf>
    <xf numFmtId="198" fontId="8" fillId="36" borderId="0" xfId="0" applyNumberFormat="1" applyFont="1" applyFill="1" applyAlignment="1" applyProtection="1">
      <alignment/>
      <protection/>
    </xf>
    <xf numFmtId="198" fontId="17" fillId="36" borderId="0" xfId="0" applyNumberFormat="1" applyFont="1" applyFill="1" applyAlignment="1" applyProtection="1">
      <alignment/>
      <protection/>
    </xf>
    <xf numFmtId="198" fontId="16" fillId="36" borderId="0" xfId="0" applyNumberFormat="1" applyFont="1" applyFill="1" applyAlignment="1" applyProtection="1">
      <alignment/>
      <protection/>
    </xf>
    <xf numFmtId="0" fontId="5" fillId="36" borderId="20" xfId="0" applyFont="1" applyFill="1" applyBorder="1" applyAlignment="1">
      <alignment/>
    </xf>
    <xf numFmtId="0" fontId="0" fillId="36" borderId="14" xfId="0" applyFont="1" applyFill="1" applyBorder="1" applyAlignment="1" applyProtection="1">
      <alignment horizontal="center"/>
      <protection/>
    </xf>
    <xf numFmtId="0" fontId="0" fillId="36" borderId="0" xfId="0" applyFont="1" applyFill="1" applyAlignment="1">
      <alignment/>
    </xf>
    <xf numFmtId="198" fontId="0" fillId="36" borderId="0" xfId="0" applyNumberFormat="1" applyFont="1" applyFill="1" applyAlignment="1" applyProtection="1">
      <alignment/>
      <protection/>
    </xf>
    <xf numFmtId="198" fontId="4" fillId="36" borderId="0" xfId="0" applyNumberFormat="1" applyFont="1" applyFill="1" applyAlignment="1" applyProtection="1">
      <alignment/>
      <protection locked="0"/>
    </xf>
    <xf numFmtId="0" fontId="7" fillId="37" borderId="10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37" borderId="13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7" fillId="36" borderId="10" xfId="0" applyFont="1" applyFill="1" applyBorder="1" applyAlignment="1">
      <alignment horizontal="center"/>
    </xf>
    <xf numFmtId="198" fontId="18" fillId="36" borderId="0" xfId="0" applyNumberFormat="1" applyFont="1" applyFill="1" applyAlignment="1" applyProtection="1">
      <alignment/>
      <protection/>
    </xf>
    <xf numFmtId="198" fontId="19" fillId="36" borderId="0" xfId="0" applyNumberFormat="1" applyFont="1" applyFill="1" applyAlignment="1" applyProtection="1">
      <alignment/>
      <protection locked="0"/>
    </xf>
    <xf numFmtId="198" fontId="19" fillId="36" borderId="0" xfId="0" applyNumberFormat="1" applyFont="1" applyFill="1" applyAlignment="1" applyProtection="1">
      <alignment/>
      <protection/>
    </xf>
    <xf numFmtId="198" fontId="16" fillId="36" borderId="0" xfId="0" applyNumberFormat="1" applyFont="1" applyFill="1" applyAlignment="1" applyProtection="1">
      <alignment/>
      <protection locked="0"/>
    </xf>
    <xf numFmtId="198" fontId="8" fillId="36" borderId="0" xfId="0" applyNumberFormat="1" applyFont="1" applyFill="1" applyAlignment="1" applyProtection="1">
      <alignment horizontal="right"/>
      <protection/>
    </xf>
    <xf numFmtId="0" fontId="0" fillId="36" borderId="0" xfId="0" applyFill="1" applyAlignment="1">
      <alignment/>
    </xf>
    <xf numFmtId="0" fontId="1" fillId="0" borderId="0" xfId="0" applyFont="1" applyAlignment="1">
      <alignment horizontal="right"/>
    </xf>
    <xf numFmtId="2" fontId="9" fillId="33" borderId="0" xfId="0" applyNumberFormat="1" applyFont="1" applyFill="1" applyAlignment="1">
      <alignment/>
    </xf>
    <xf numFmtId="2" fontId="8" fillId="0" borderId="0" xfId="0" applyNumberFormat="1" applyFont="1" applyAlignment="1" applyProtection="1">
      <alignment/>
      <protection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2" fontId="9" fillId="33" borderId="0" xfId="0" applyNumberFormat="1" applyFont="1" applyFill="1" applyAlignment="1" applyProtection="1">
      <alignment/>
      <protection/>
    </xf>
    <xf numFmtId="0" fontId="0" fillId="38" borderId="0" xfId="0" applyFill="1" applyAlignment="1">
      <alignment/>
    </xf>
    <xf numFmtId="0" fontId="0" fillId="38" borderId="0" xfId="0" applyFont="1" applyFill="1" applyAlignment="1" applyProtection="1">
      <alignment horizontal="left"/>
      <protection/>
    </xf>
    <xf numFmtId="0" fontId="0" fillId="0" borderId="0" xfId="0" applyFill="1" applyBorder="1" applyAlignment="1">
      <alignment/>
    </xf>
    <xf numFmtId="4" fontId="20" fillId="33" borderId="14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201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21" xfId="0" applyNumberFormat="1" applyFill="1" applyBorder="1" applyAlignment="1">
      <alignment horizontal="right"/>
    </xf>
    <xf numFmtId="4" fontId="0" fillId="0" borderId="21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201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" fontId="0" fillId="0" borderId="21" xfId="0" applyNumberFormat="1" applyFont="1" applyFill="1" applyBorder="1" applyAlignment="1" applyProtection="1">
      <alignment horizontal="right"/>
      <protection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21" xfId="0" applyFont="1" applyBorder="1" applyAlignment="1">
      <alignment horizontal="center"/>
    </xf>
    <xf numFmtId="201" fontId="0" fillId="33" borderId="21" xfId="0" applyNumberFormat="1" applyFill="1" applyBorder="1" applyAlignment="1">
      <alignment/>
    </xf>
    <xf numFmtId="0" fontId="0" fillId="33" borderId="21" xfId="0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3" fontId="0" fillId="33" borderId="21" xfId="0" applyNumberFormat="1" applyFill="1" applyBorder="1" applyAlignment="1">
      <alignment/>
    </xf>
    <xf numFmtId="201" fontId="0" fillId="33" borderId="21" xfId="0" applyNumberForma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3" fontId="0" fillId="33" borderId="21" xfId="0" applyNumberFormat="1" applyFill="1" applyBorder="1" applyAlignment="1">
      <alignment horizontal="right"/>
    </xf>
    <xf numFmtId="201" fontId="0" fillId="0" borderId="21" xfId="0" applyNumberFormat="1" applyFill="1" applyBorder="1" applyAlignment="1">
      <alignment/>
    </xf>
    <xf numFmtId="2" fontId="0" fillId="33" borderId="21" xfId="0" applyNumberFormat="1" applyFill="1" applyBorder="1" applyAlignment="1">
      <alignment/>
    </xf>
    <xf numFmtId="2" fontId="0" fillId="33" borderId="21" xfId="0" applyNumberFormat="1" applyFill="1" applyBorder="1" applyAlignment="1">
      <alignment horizontal="right"/>
    </xf>
    <xf numFmtId="4" fontId="0" fillId="33" borderId="21" xfId="0" applyNumberFormat="1" applyFill="1" applyBorder="1" applyAlignment="1">
      <alignment horizontal="right"/>
    </xf>
    <xf numFmtId="4" fontId="0" fillId="33" borderId="21" xfId="0" applyNumberFormat="1" applyFill="1" applyBorder="1" applyAlignment="1">
      <alignment/>
    </xf>
    <xf numFmtId="2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203" fontId="8" fillId="0" borderId="0" xfId="0" applyNumberFormat="1" applyFont="1" applyAlignment="1" applyProtection="1">
      <alignment/>
      <protection/>
    </xf>
    <xf numFmtId="203" fontId="9" fillId="33" borderId="0" xfId="0" applyNumberFormat="1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horizontal="left"/>
      <protection/>
    </xf>
    <xf numFmtId="203" fontId="8" fillId="0" borderId="0" xfId="0" applyNumberFormat="1" applyFont="1" applyBorder="1" applyAlignment="1">
      <alignment/>
    </xf>
    <xf numFmtId="203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0" fontId="0" fillId="0" borderId="0" xfId="0" applyAlignment="1" applyProtection="1">
      <alignment horizontal="right"/>
      <protection locked="0"/>
    </xf>
    <xf numFmtId="200" fontId="0" fillId="37" borderId="0" xfId="0" applyNumberFormat="1" applyFill="1" applyAlignment="1" applyProtection="1">
      <alignment horizontal="right"/>
      <protection locked="0"/>
    </xf>
    <xf numFmtId="17" fontId="1" fillId="33" borderId="20" xfId="0" applyNumberFormat="1" applyFont="1" applyFill="1" applyBorder="1" applyAlignment="1">
      <alignment/>
    </xf>
    <xf numFmtId="200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9" fillId="0" borderId="17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17" fontId="9" fillId="0" borderId="0" xfId="0" applyNumberFormat="1" applyFont="1" applyAlignment="1" quotePrefix="1">
      <alignment horizontal="center"/>
    </xf>
    <xf numFmtId="0" fontId="9" fillId="0" borderId="0" xfId="0" applyFont="1" applyAlignment="1" quotePrefix="1">
      <alignment horizontal="center"/>
    </xf>
    <xf numFmtId="0" fontId="9" fillId="0" borderId="15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1" fillId="39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28575</xdr:rowOff>
    </xdr:from>
    <xdr:to>
      <xdr:col>0</xdr:col>
      <xdr:colOff>295275</xdr:colOff>
      <xdr:row>17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7625" y="2105025"/>
          <a:ext cx="2476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de orden</a:t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7</xdr:col>
      <xdr:colOff>333375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9344025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</xdr:row>
      <xdr:rowOff>95250</xdr:rowOff>
    </xdr:from>
    <xdr:to>
      <xdr:col>7</xdr:col>
      <xdr:colOff>419100</xdr:colOff>
      <xdr:row>7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104775" y="876300"/>
          <a:ext cx="5381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considera la estructura fija del gasto en bienes y servicios establecida en noviembre de 1982 para un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Hogar tipo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cuatro miembros con 1,60 perceptores de Remuneración básica unificada.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6384"/>
    </sheetView>
  </sheetViews>
  <sheetFormatPr defaultColWidth="11.421875" defaultRowHeight="12.75"/>
  <cols>
    <col min="1" max="1" width="26.8515625" style="0" customWidth="1"/>
    <col min="2" max="2" width="10.28125" style="0" customWidth="1"/>
    <col min="4" max="6" width="9.00390625" style="0" hidden="1" customWidth="1"/>
    <col min="7" max="7" width="13.00390625" style="0" bestFit="1" customWidth="1"/>
    <col min="8" max="8" width="11.8515625" style="0" customWidth="1"/>
    <col min="9" max="9" width="2.140625" style="0" customWidth="1"/>
  </cols>
  <sheetData>
    <row r="1" spans="4:10" ht="12.75">
      <c r="D1" s="63" t="s">
        <v>302</v>
      </c>
      <c r="G1" s="63" t="s">
        <v>305</v>
      </c>
      <c r="J1" s="63" t="s">
        <v>304</v>
      </c>
    </row>
    <row r="2" spans="1:10" ht="12.75">
      <c r="A2" s="79" t="s">
        <v>277</v>
      </c>
      <c r="B2" s="80" t="s">
        <v>0</v>
      </c>
      <c r="C2" s="81" t="s">
        <v>0</v>
      </c>
      <c r="D2" s="81"/>
      <c r="E2" s="81"/>
      <c r="F2" s="81"/>
      <c r="G2" s="169" t="s">
        <v>278</v>
      </c>
      <c r="H2" s="82" t="s">
        <v>278</v>
      </c>
      <c r="I2" s="20"/>
      <c r="J2" s="165" t="s">
        <v>278</v>
      </c>
    </row>
    <row r="3" spans="1:11" ht="12.75">
      <c r="A3" s="83" t="s">
        <v>279</v>
      </c>
      <c r="B3" s="84" t="s">
        <v>270</v>
      </c>
      <c r="C3" s="85" t="s">
        <v>280</v>
      </c>
      <c r="D3" s="85" t="s">
        <v>281</v>
      </c>
      <c r="E3" s="85" t="s">
        <v>281</v>
      </c>
      <c r="F3" s="85" t="s">
        <v>281</v>
      </c>
      <c r="G3" s="155"/>
      <c r="H3" s="86" t="s">
        <v>282</v>
      </c>
      <c r="I3" s="17"/>
      <c r="J3" s="166" t="s">
        <v>300</v>
      </c>
      <c r="K3" s="17"/>
    </row>
    <row r="4" spans="1:10" ht="12.75">
      <c r="A4" s="87" t="s">
        <v>283</v>
      </c>
      <c r="B4" s="88" t="s">
        <v>284</v>
      </c>
      <c r="C4" s="89">
        <v>1</v>
      </c>
      <c r="D4" s="90" t="s">
        <v>285</v>
      </c>
      <c r="E4" s="90" t="s">
        <v>286</v>
      </c>
      <c r="F4" s="90" t="s">
        <v>287</v>
      </c>
      <c r="G4" s="156" t="s">
        <v>288</v>
      </c>
      <c r="H4" s="91" t="s">
        <v>289</v>
      </c>
      <c r="J4" s="167" t="s">
        <v>293</v>
      </c>
    </row>
    <row r="5" spans="1:10" ht="12.75">
      <c r="A5" s="4"/>
      <c r="B5" s="3"/>
      <c r="C5" s="3"/>
      <c r="D5" s="3"/>
      <c r="E5" s="3"/>
      <c r="F5" s="3"/>
      <c r="G5" s="3"/>
      <c r="H5" s="3"/>
      <c r="J5" s="168"/>
    </row>
    <row r="6" spans="1:10" ht="12.75">
      <c r="A6" s="45" t="s">
        <v>1</v>
      </c>
      <c r="B6" s="60"/>
      <c r="C6" s="92">
        <v>0.4582805578767501</v>
      </c>
      <c r="D6" s="92"/>
      <c r="E6" s="92"/>
      <c r="F6" s="92"/>
      <c r="G6" s="92"/>
      <c r="H6" s="60"/>
      <c r="J6" s="168"/>
    </row>
    <row r="7" spans="1:10" ht="12.75">
      <c r="A7" s="45" t="s">
        <v>2</v>
      </c>
      <c r="B7" s="60"/>
      <c r="C7" s="92">
        <v>0.08419629092713042</v>
      </c>
      <c r="D7" s="92"/>
      <c r="E7" s="92"/>
      <c r="F7" s="92"/>
      <c r="G7" s="92"/>
      <c r="H7" s="60"/>
      <c r="J7" s="168"/>
    </row>
    <row r="8" spans="1:10" ht="12.75">
      <c r="A8" s="45" t="s">
        <v>3</v>
      </c>
      <c r="B8" s="45" t="s">
        <v>119</v>
      </c>
      <c r="C8" s="92">
        <v>0.04059439146731342</v>
      </c>
      <c r="D8" s="93">
        <f>$H8/5</f>
        <v>4.9924250188627015</v>
      </c>
      <c r="E8" s="93">
        <f>$H8/5*2</f>
        <v>9.984850037725403</v>
      </c>
      <c r="F8" s="93">
        <f>$H8/5*3</f>
        <v>14.977275056588105</v>
      </c>
      <c r="G8" s="157">
        <f>$H8/5*4</f>
        <v>19.969700075450806</v>
      </c>
      <c r="H8" s="94">
        <v>24.962125094313507</v>
      </c>
      <c r="J8" s="170">
        <v>15.83</v>
      </c>
    </row>
    <row r="9" spans="1:10" ht="12.75">
      <c r="A9" s="45" t="s">
        <v>4</v>
      </c>
      <c r="B9" s="45" t="s">
        <v>119</v>
      </c>
      <c r="C9" s="92">
        <v>0.010260558372836513</v>
      </c>
      <c r="D9" s="93">
        <f aca="true" t="shared" si="0" ref="D9:D67">$H9/5</f>
        <v>0.7994440007441116</v>
      </c>
      <c r="E9" s="93">
        <f aca="true" t="shared" si="1" ref="E9:E67">$H9/5*2</f>
        <v>1.5988880014882232</v>
      </c>
      <c r="F9" s="93">
        <f>$H9/5*3</f>
        <v>2.3983320022323347</v>
      </c>
      <c r="G9" s="157">
        <f aca="true" t="shared" si="2" ref="G9:G67">$H9/5*4</f>
        <v>3.1977760029764464</v>
      </c>
      <c r="H9" s="94">
        <v>3.997220003720558</v>
      </c>
      <c r="J9" s="170">
        <v>2.8251797801586482</v>
      </c>
    </row>
    <row r="10" spans="1:10" ht="12.75">
      <c r="A10" s="45" t="s">
        <v>5</v>
      </c>
      <c r="B10" s="45" t="s">
        <v>119</v>
      </c>
      <c r="C10" s="92">
        <v>0.03334134108698049</v>
      </c>
      <c r="D10" s="93">
        <f t="shared" si="0"/>
        <v>1.8570157780089123</v>
      </c>
      <c r="E10" s="93">
        <f t="shared" si="1"/>
        <v>3.7140315560178245</v>
      </c>
      <c r="F10" s="93">
        <f>$H10/5*3</f>
        <v>5.571047334026737</v>
      </c>
      <c r="G10" s="157">
        <f t="shared" si="2"/>
        <v>7.428063112035649</v>
      </c>
      <c r="H10" s="94">
        <v>9.285078890044561</v>
      </c>
      <c r="J10" s="170">
        <v>6.613813827159231</v>
      </c>
    </row>
    <row r="11" spans="1:10" ht="12.75">
      <c r="A11" s="45" t="s">
        <v>6</v>
      </c>
      <c r="B11" s="60"/>
      <c r="C11" s="92">
        <v>0.08606229936059971</v>
      </c>
      <c r="D11" s="93"/>
      <c r="E11" s="93"/>
      <c r="F11" s="93"/>
      <c r="G11" s="157"/>
      <c r="H11" s="94"/>
      <c r="J11" s="170"/>
    </row>
    <row r="12" spans="1:10" ht="12.75">
      <c r="A12" s="45" t="s">
        <v>7</v>
      </c>
      <c r="B12" s="45" t="s">
        <v>119</v>
      </c>
      <c r="C12" s="92">
        <v>0.025697175338992396</v>
      </c>
      <c r="D12" s="93">
        <f t="shared" si="0"/>
        <v>0.6765382533780679</v>
      </c>
      <c r="E12" s="93">
        <f t="shared" si="1"/>
        <v>1.3530765067561359</v>
      </c>
      <c r="F12" s="93">
        <f>$H12/5*3</f>
        <v>2.029614760134204</v>
      </c>
      <c r="G12" s="157">
        <f t="shared" si="2"/>
        <v>2.7061530135122718</v>
      </c>
      <c r="H12" s="94">
        <v>3.3826912668903395</v>
      </c>
      <c r="J12" s="170">
        <v>2.683531774583634</v>
      </c>
    </row>
    <row r="13" spans="1:10" ht="12.75">
      <c r="A13" s="45" t="s">
        <v>8</v>
      </c>
      <c r="B13" s="45" t="s">
        <v>119</v>
      </c>
      <c r="C13" s="92">
        <v>0.046891050325212215</v>
      </c>
      <c r="D13" s="93">
        <f t="shared" si="0"/>
        <v>0.9599376070837149</v>
      </c>
      <c r="E13" s="93">
        <f t="shared" si="1"/>
        <v>1.9198752141674298</v>
      </c>
      <c r="F13" s="93">
        <f>$H13/5*3</f>
        <v>2.8798128212511447</v>
      </c>
      <c r="G13" s="157">
        <f t="shared" si="2"/>
        <v>3.8397504283348596</v>
      </c>
      <c r="H13" s="94">
        <v>4.7996880354185745</v>
      </c>
      <c r="J13" s="170">
        <v>3.778544228474293</v>
      </c>
    </row>
    <row r="14" spans="1:10" ht="12.75">
      <c r="A14" s="45" t="s">
        <v>9</v>
      </c>
      <c r="B14" s="45" t="s">
        <v>119</v>
      </c>
      <c r="C14" s="92">
        <v>0.013474073696395106</v>
      </c>
      <c r="D14" s="93">
        <f t="shared" si="0"/>
        <v>0.3541728318628828</v>
      </c>
      <c r="E14" s="93">
        <f t="shared" si="1"/>
        <v>0.7083456637257656</v>
      </c>
      <c r="F14" s="93">
        <f>$H14/5*3</f>
        <v>1.0625184955886484</v>
      </c>
      <c r="G14" s="157">
        <f t="shared" si="2"/>
        <v>1.4166913274515311</v>
      </c>
      <c r="H14" s="94">
        <v>1.7708641593144139</v>
      </c>
      <c r="J14" s="170">
        <v>1.5347924678980984</v>
      </c>
    </row>
    <row r="15" spans="1:10" ht="12.75">
      <c r="A15" s="45" t="s">
        <v>10</v>
      </c>
      <c r="B15" s="60"/>
      <c r="C15" s="92">
        <v>0.01592824798809393</v>
      </c>
      <c r="D15" s="93"/>
      <c r="E15" s="93"/>
      <c r="F15" s="93"/>
      <c r="G15" s="157"/>
      <c r="H15" s="94"/>
      <c r="J15" s="170"/>
    </row>
    <row r="16" spans="1:10" ht="12.75">
      <c r="A16" s="45" t="s">
        <v>11</v>
      </c>
      <c r="B16" s="45" t="s">
        <v>119</v>
      </c>
      <c r="C16" s="92">
        <v>0.010553148495204499</v>
      </c>
      <c r="D16" s="93">
        <f t="shared" si="0"/>
        <v>0.19279266066177886</v>
      </c>
      <c r="E16" s="93">
        <f t="shared" si="1"/>
        <v>0.3855853213235577</v>
      </c>
      <c r="F16" s="93">
        <f>$H16/5*3</f>
        <v>0.5783779819853365</v>
      </c>
      <c r="G16" s="157">
        <f t="shared" si="2"/>
        <v>0.7711706426471154</v>
      </c>
      <c r="H16" s="94">
        <v>0.9639633033088942</v>
      </c>
      <c r="J16" s="170">
        <v>0.5719708963781258</v>
      </c>
    </row>
    <row r="17" spans="1:10" ht="12.75">
      <c r="A17" s="45" t="s">
        <v>264</v>
      </c>
      <c r="B17" s="45" t="s">
        <v>120</v>
      </c>
      <c r="C17" s="92">
        <v>0.005375099492889428</v>
      </c>
      <c r="D17" s="93">
        <f t="shared" si="0"/>
        <v>0.3583328458530522</v>
      </c>
      <c r="E17" s="93">
        <f t="shared" si="1"/>
        <v>0.7166656917061044</v>
      </c>
      <c r="F17" s="93">
        <f>$H17/5*3</f>
        <v>1.0749985375591566</v>
      </c>
      <c r="G17" s="157">
        <f t="shared" si="2"/>
        <v>1.4333313834122088</v>
      </c>
      <c r="H17" s="94">
        <v>1.791664229265261</v>
      </c>
      <c r="J17" s="170">
        <v>1.7301143697925125</v>
      </c>
    </row>
    <row r="18" spans="1:10" ht="12.75">
      <c r="A18" s="45" t="s">
        <v>12</v>
      </c>
      <c r="B18" s="60"/>
      <c r="C18" s="92">
        <v>0.019706044261933637</v>
      </c>
      <c r="D18" s="93"/>
      <c r="E18" s="93"/>
      <c r="F18" s="93"/>
      <c r="G18" s="157"/>
      <c r="H18" s="94"/>
      <c r="J18" s="170"/>
    </row>
    <row r="19" spans="1:10" ht="12.75">
      <c r="A19" s="45" t="s">
        <v>13</v>
      </c>
      <c r="B19" s="45" t="s">
        <v>121</v>
      </c>
      <c r="C19" s="92">
        <v>0.012325607705875869</v>
      </c>
      <c r="D19" s="93">
        <f t="shared" si="0"/>
        <v>0.5913676919042787</v>
      </c>
      <c r="E19" s="93">
        <f t="shared" si="1"/>
        <v>1.1827353838085575</v>
      </c>
      <c r="F19" s="93">
        <f>$H19/5*3</f>
        <v>1.7741030757128362</v>
      </c>
      <c r="G19" s="157">
        <f t="shared" si="2"/>
        <v>2.365470767617115</v>
      </c>
      <c r="H19" s="94">
        <v>2.9568384595213937</v>
      </c>
      <c r="J19" s="170">
        <v>2.2539073032873174</v>
      </c>
    </row>
    <row r="20" spans="1:10" ht="12.75">
      <c r="A20" s="45" t="s">
        <v>14</v>
      </c>
      <c r="B20" s="45" t="s">
        <v>122</v>
      </c>
      <c r="C20" s="92">
        <v>0.0073804365560577664</v>
      </c>
      <c r="D20" s="93">
        <f t="shared" si="0"/>
        <v>0.7332816743774099</v>
      </c>
      <c r="E20" s="93">
        <f t="shared" si="1"/>
        <v>1.4665633487548198</v>
      </c>
      <c r="F20" s="93">
        <f>$H20/5*3</f>
        <v>2.1998450231322297</v>
      </c>
      <c r="G20" s="157">
        <f t="shared" si="2"/>
        <v>2.9331266975096395</v>
      </c>
      <c r="H20" s="94">
        <v>3.6664083718870493</v>
      </c>
      <c r="J20" s="170">
        <v>3.0392813934743064</v>
      </c>
    </row>
    <row r="21" spans="1:10" ht="12.75">
      <c r="A21" s="45" t="s">
        <v>15</v>
      </c>
      <c r="B21" s="60"/>
      <c r="C21" s="92">
        <v>0.06987430299856687</v>
      </c>
      <c r="D21" s="93"/>
      <c r="E21" s="93"/>
      <c r="F21" s="93"/>
      <c r="G21" s="157"/>
      <c r="H21" s="94"/>
      <c r="J21" s="170"/>
    </row>
    <row r="22" spans="1:10" ht="12.75">
      <c r="A22" s="45" t="s">
        <v>16</v>
      </c>
      <c r="B22" s="45" t="s">
        <v>119</v>
      </c>
      <c r="C22" s="92">
        <v>0.012939648881049499</v>
      </c>
      <c r="D22" s="93">
        <f t="shared" si="0"/>
        <v>0.5572515038952559</v>
      </c>
      <c r="E22" s="93">
        <f t="shared" si="1"/>
        <v>1.1145030077905118</v>
      </c>
      <c r="F22" s="93">
        <f>$H22/5*3</f>
        <v>1.6717545116857677</v>
      </c>
      <c r="G22" s="157">
        <f t="shared" si="2"/>
        <v>2.2290060155810236</v>
      </c>
      <c r="H22" s="94">
        <v>2.7862575194762798</v>
      </c>
      <c r="J22" s="170">
        <v>2.3450107037555137</v>
      </c>
    </row>
    <row r="23" spans="1:10" ht="12.75">
      <c r="A23" s="45" t="s">
        <v>17</v>
      </c>
      <c r="B23" s="45" t="s">
        <v>121</v>
      </c>
      <c r="C23" s="92">
        <v>0.04174385266233051</v>
      </c>
      <c r="D23" s="93">
        <f t="shared" si="0"/>
        <v>7.287320841055353</v>
      </c>
      <c r="E23" s="93">
        <f t="shared" si="1"/>
        <v>14.574641682110705</v>
      </c>
      <c r="F23" s="93">
        <f>$H23/5*3</f>
        <v>21.861962523166056</v>
      </c>
      <c r="G23" s="157">
        <f t="shared" si="2"/>
        <v>29.14928336422141</v>
      </c>
      <c r="H23" s="94">
        <v>36.436604205276765</v>
      </c>
      <c r="J23" s="170">
        <v>20.599527646770966</v>
      </c>
    </row>
    <row r="24" spans="1:10" ht="12.75">
      <c r="A24" s="45" t="s">
        <v>18</v>
      </c>
      <c r="B24" s="45" t="s">
        <v>119</v>
      </c>
      <c r="C24" s="92">
        <v>0.015190801455186859</v>
      </c>
      <c r="D24" s="93">
        <f t="shared" si="0"/>
        <v>0.2426747731940612</v>
      </c>
      <c r="E24" s="93">
        <f t="shared" si="1"/>
        <v>0.4853495463881224</v>
      </c>
      <c r="F24" s="93">
        <f>$H24/5*3</f>
        <v>0.7280243195821836</v>
      </c>
      <c r="G24" s="157">
        <f t="shared" si="2"/>
        <v>0.9706990927762448</v>
      </c>
      <c r="H24" s="94">
        <v>1.213373865970306</v>
      </c>
      <c r="J24" s="170">
        <v>1.5778308354222699</v>
      </c>
    </row>
    <row r="25" spans="1:10" ht="12.75">
      <c r="A25" s="45" t="s">
        <v>19</v>
      </c>
      <c r="B25" s="60"/>
      <c r="C25" s="92">
        <v>0.031115068625289385</v>
      </c>
      <c r="D25" s="93"/>
      <c r="E25" s="93"/>
      <c r="F25" s="93"/>
      <c r="G25" s="157"/>
      <c r="H25" s="94"/>
      <c r="J25" s="170"/>
    </row>
    <row r="26" spans="1:10" ht="12.75">
      <c r="A26" s="45" t="s">
        <v>20</v>
      </c>
      <c r="B26" s="45" t="s">
        <v>119</v>
      </c>
      <c r="C26" s="92">
        <v>0.004960099217285856</v>
      </c>
      <c r="D26" s="93">
        <f t="shared" si="0"/>
        <v>0.15692480979979495</v>
      </c>
      <c r="E26" s="93">
        <f t="shared" si="1"/>
        <v>0.3138496195995899</v>
      </c>
      <c r="F26" s="93">
        <f aca="true" t="shared" si="3" ref="F26:F32">$H26/5*3</f>
        <v>0.47077442939938485</v>
      </c>
      <c r="G26" s="157">
        <f t="shared" si="2"/>
        <v>0.6276992391991798</v>
      </c>
      <c r="H26" s="94">
        <v>0.7846240489989748</v>
      </c>
      <c r="J26" s="170">
        <v>0.37251730002016653</v>
      </c>
    </row>
    <row r="27" spans="1:10" ht="12.75">
      <c r="A27" s="45" t="s">
        <v>21</v>
      </c>
      <c r="B27" s="45" t="s">
        <v>123</v>
      </c>
      <c r="C27" s="92">
        <v>0.002267075846102966</v>
      </c>
      <c r="D27" s="93">
        <f t="shared" si="0"/>
        <v>0.19540263955694212</v>
      </c>
      <c r="E27" s="93">
        <f t="shared" si="1"/>
        <v>0.39080527911388424</v>
      </c>
      <c r="F27" s="93">
        <f t="shared" si="3"/>
        <v>0.5862079186708263</v>
      </c>
      <c r="G27" s="157">
        <f t="shared" si="2"/>
        <v>0.7816105582277685</v>
      </c>
      <c r="H27" s="94">
        <v>0.9770131977847106</v>
      </c>
      <c r="J27" s="170">
        <v>1.1598942123500229</v>
      </c>
    </row>
    <row r="28" spans="1:10" ht="12.75">
      <c r="A28" s="45" t="s">
        <v>22</v>
      </c>
      <c r="B28" s="45" t="s">
        <v>123</v>
      </c>
      <c r="C28" s="92">
        <v>0.007893962076948518</v>
      </c>
      <c r="D28" s="93">
        <f t="shared" si="0"/>
        <v>0.9083097915617054</v>
      </c>
      <c r="E28" s="93">
        <f t="shared" si="1"/>
        <v>1.8166195831234109</v>
      </c>
      <c r="F28" s="93">
        <f t="shared" si="3"/>
        <v>2.724929374685116</v>
      </c>
      <c r="G28" s="157">
        <f t="shared" si="2"/>
        <v>3.6332391662468217</v>
      </c>
      <c r="H28" s="94">
        <v>4.541548957808527</v>
      </c>
      <c r="J28" s="170">
        <v>3.555239995490972</v>
      </c>
    </row>
    <row r="29" spans="1:10" ht="12.75">
      <c r="A29" s="45" t="s">
        <v>23</v>
      </c>
      <c r="B29" s="45" t="s">
        <v>119</v>
      </c>
      <c r="C29" s="92">
        <v>0.002318826479991181</v>
      </c>
      <c r="D29" s="93">
        <f t="shared" si="0"/>
        <v>0.16859505871353875</v>
      </c>
      <c r="E29" s="93">
        <f t="shared" si="1"/>
        <v>0.3371901174270775</v>
      </c>
      <c r="F29" s="93">
        <f t="shared" si="3"/>
        <v>0.5057851761406162</v>
      </c>
      <c r="G29" s="157">
        <f t="shared" si="2"/>
        <v>0.674380234854155</v>
      </c>
      <c r="H29" s="94">
        <v>0.8429752935676937</v>
      </c>
      <c r="J29" s="170">
        <v>0.6552389947561511</v>
      </c>
    </row>
    <row r="30" spans="1:10" ht="12.75">
      <c r="A30" s="45" t="s">
        <v>232</v>
      </c>
      <c r="B30" s="45" t="s">
        <v>119</v>
      </c>
      <c r="C30" s="92">
        <v>0.002738802778084004</v>
      </c>
      <c r="D30" s="93">
        <f t="shared" si="0"/>
        <v>0.1244836122094273</v>
      </c>
      <c r="E30" s="93">
        <f t="shared" si="1"/>
        <v>0.2489672244188546</v>
      </c>
      <c r="F30" s="93">
        <f t="shared" si="3"/>
        <v>0.37345083662828193</v>
      </c>
      <c r="G30" s="157">
        <f t="shared" si="2"/>
        <v>0.4979344488377092</v>
      </c>
      <c r="H30" s="94">
        <v>0.6224180610471365</v>
      </c>
      <c r="J30" s="170">
        <v>0.44791967837040925</v>
      </c>
    </row>
    <row r="31" spans="1:10" ht="12.75">
      <c r="A31" s="45" t="s">
        <v>24</v>
      </c>
      <c r="B31" s="45" t="s">
        <v>123</v>
      </c>
      <c r="C31" s="92">
        <v>0.0019297015213317165</v>
      </c>
      <c r="D31" s="93">
        <f t="shared" si="0"/>
        <v>0.09877448272984737</v>
      </c>
      <c r="E31" s="93">
        <f t="shared" si="1"/>
        <v>0.19754896545969475</v>
      </c>
      <c r="F31" s="93">
        <f t="shared" si="3"/>
        <v>0.29632344818954215</v>
      </c>
      <c r="G31" s="157">
        <f t="shared" si="2"/>
        <v>0.3950979309193895</v>
      </c>
      <c r="H31" s="94">
        <v>0.49387241364923684</v>
      </c>
      <c r="J31" s="170">
        <v>0.35844768249437203</v>
      </c>
    </row>
    <row r="32" spans="1:10" ht="12.75">
      <c r="A32" s="45" t="s">
        <v>233</v>
      </c>
      <c r="B32" s="45" t="s">
        <v>119</v>
      </c>
      <c r="C32" s="92">
        <v>0.009006600705545145</v>
      </c>
      <c r="D32" s="93">
        <f t="shared" si="0"/>
        <v>0.9781326278371738</v>
      </c>
      <c r="E32" s="93">
        <f t="shared" si="1"/>
        <v>1.9562652556743476</v>
      </c>
      <c r="F32" s="93">
        <f t="shared" si="3"/>
        <v>2.9343978835115214</v>
      </c>
      <c r="G32" s="157">
        <f t="shared" si="2"/>
        <v>3.9125305113486952</v>
      </c>
      <c r="H32" s="94">
        <v>4.890663139185869</v>
      </c>
      <c r="J32" s="170">
        <v>3.3379703703947796</v>
      </c>
    </row>
    <row r="33" spans="1:10" ht="12.75">
      <c r="A33" s="45" t="s">
        <v>25</v>
      </c>
      <c r="B33" s="60"/>
      <c r="C33" s="92">
        <v>0.03216401416602359</v>
      </c>
      <c r="D33" s="93"/>
      <c r="E33" s="93"/>
      <c r="F33" s="93"/>
      <c r="G33" s="157"/>
      <c r="H33" s="94"/>
      <c r="J33" s="170"/>
    </row>
    <row r="34" spans="1:10" ht="12.75">
      <c r="A34" s="45" t="s">
        <v>26</v>
      </c>
      <c r="B34" s="45" t="s">
        <v>119</v>
      </c>
      <c r="C34" s="92">
        <v>0.028779323668834747</v>
      </c>
      <c r="D34" s="93">
        <f t="shared" si="0"/>
        <v>4.717832824094924</v>
      </c>
      <c r="E34" s="93">
        <f t="shared" si="1"/>
        <v>9.435665648189849</v>
      </c>
      <c r="F34" s="93">
        <f>$H34/5*3</f>
        <v>14.153498472284774</v>
      </c>
      <c r="G34" s="157">
        <f t="shared" si="2"/>
        <v>18.871331296379697</v>
      </c>
      <c r="H34" s="94">
        <v>23.58916412047462</v>
      </c>
      <c r="J34" s="170">
        <v>16.37236212268856</v>
      </c>
    </row>
    <row r="35" spans="1:10" ht="12.75">
      <c r="A35" s="45" t="s">
        <v>27</v>
      </c>
      <c r="B35" s="45" t="s">
        <v>123</v>
      </c>
      <c r="C35" s="92">
        <v>0.0033846904971888436</v>
      </c>
      <c r="D35" s="93">
        <f t="shared" si="0"/>
        <v>0.6897885823233171</v>
      </c>
      <c r="E35" s="93">
        <f t="shared" si="1"/>
        <v>1.3795771646466342</v>
      </c>
      <c r="F35" s="93">
        <f>$H35/5*3</f>
        <v>2.069365746969951</v>
      </c>
      <c r="G35" s="157">
        <f t="shared" si="2"/>
        <v>2.7591543292932683</v>
      </c>
      <c r="H35" s="94">
        <v>3.4489429116165855</v>
      </c>
      <c r="J35" s="170">
        <v>3.4884823127689275</v>
      </c>
    </row>
    <row r="36" spans="1:10" ht="12.75">
      <c r="A36" s="45" t="s">
        <v>28</v>
      </c>
      <c r="B36" s="60"/>
      <c r="C36" s="92">
        <v>0.011085582901554404</v>
      </c>
      <c r="D36" s="93"/>
      <c r="E36" s="93"/>
      <c r="F36" s="93"/>
      <c r="G36" s="157"/>
      <c r="H36" s="94"/>
      <c r="J36" s="170"/>
    </row>
    <row r="37" spans="1:10" ht="12.75">
      <c r="A37" s="45" t="s">
        <v>29</v>
      </c>
      <c r="B37" s="45" t="s">
        <v>119</v>
      </c>
      <c r="C37" s="92">
        <v>0.00435899570058428</v>
      </c>
      <c r="D37" s="93">
        <f t="shared" si="0"/>
        <v>0.14262993264450877</v>
      </c>
      <c r="E37" s="93">
        <f t="shared" si="1"/>
        <v>0.28525986528901753</v>
      </c>
      <c r="F37" s="93">
        <f>$H37/5*3</f>
        <v>0.42788979793352633</v>
      </c>
      <c r="G37" s="157">
        <f t="shared" si="2"/>
        <v>0.5705197305780351</v>
      </c>
      <c r="H37" s="94">
        <v>0.7131496632225438</v>
      </c>
      <c r="J37" s="170">
        <v>1.0236480000618147</v>
      </c>
    </row>
    <row r="38" spans="1:10" ht="12.75">
      <c r="A38" s="45" t="s">
        <v>261</v>
      </c>
      <c r="B38" s="45" t="s">
        <v>119</v>
      </c>
      <c r="C38" s="92">
        <v>0.0016570154889207365</v>
      </c>
      <c r="D38" s="93">
        <f t="shared" si="0"/>
        <v>0.06815543919453218</v>
      </c>
      <c r="E38" s="93">
        <f t="shared" si="1"/>
        <v>0.13631087838906436</v>
      </c>
      <c r="F38" s="93">
        <f>$H38/5*3</f>
        <v>0.20446631758359654</v>
      </c>
      <c r="G38" s="157">
        <f t="shared" si="2"/>
        <v>0.2726217567781287</v>
      </c>
      <c r="H38" s="94">
        <v>0.34077719597266093</v>
      </c>
      <c r="J38" s="170">
        <v>0.33679603901808297</v>
      </c>
    </row>
    <row r="39" spans="1:10" ht="12.75">
      <c r="A39" s="45" t="s">
        <v>267</v>
      </c>
      <c r="B39" s="45" t="s">
        <v>123</v>
      </c>
      <c r="C39" s="92">
        <v>0.005069571712049388</v>
      </c>
      <c r="D39" s="93">
        <f t="shared" si="0"/>
        <v>0.2549366114587614</v>
      </c>
      <c r="E39" s="93">
        <f t="shared" si="1"/>
        <v>0.5098732229175228</v>
      </c>
      <c r="F39" s="93">
        <f>$H39/5*3</f>
        <v>0.7648098343762841</v>
      </c>
      <c r="G39" s="157">
        <f t="shared" si="2"/>
        <v>1.0197464458350456</v>
      </c>
      <c r="H39" s="94">
        <v>1.274683057293807</v>
      </c>
      <c r="J39" s="170">
        <v>0.7868467554234215</v>
      </c>
    </row>
    <row r="40" spans="1:10" ht="12.75">
      <c r="A40" s="45" t="s">
        <v>30</v>
      </c>
      <c r="B40" s="60"/>
      <c r="C40" s="92">
        <v>0.020282267666188954</v>
      </c>
      <c r="D40" s="93"/>
      <c r="E40" s="93"/>
      <c r="F40" s="93"/>
      <c r="G40" s="157"/>
      <c r="H40" s="94"/>
      <c r="J40" s="170"/>
    </row>
    <row r="41" spans="1:10" ht="12.75">
      <c r="A41" s="45" t="s">
        <v>31</v>
      </c>
      <c r="B41" s="45" t="s">
        <v>119</v>
      </c>
      <c r="C41" s="92">
        <v>0.0013126747326645354</v>
      </c>
      <c r="D41" s="93">
        <f t="shared" si="0"/>
        <v>0.0926588101737383</v>
      </c>
      <c r="E41" s="93">
        <f t="shared" si="1"/>
        <v>0.1853176203474766</v>
      </c>
      <c r="F41" s="93">
        <f aca="true" t="shared" si="4" ref="F41:F46">$H41/5*3</f>
        <v>0.2779764305212149</v>
      </c>
      <c r="G41" s="157">
        <f t="shared" si="2"/>
        <v>0.3706352406949532</v>
      </c>
      <c r="H41" s="94">
        <v>0.46329405086869146</v>
      </c>
      <c r="J41" s="170">
        <v>0.3990748496932668</v>
      </c>
    </row>
    <row r="42" spans="1:10" ht="12.75">
      <c r="A42" s="45" t="s">
        <v>228</v>
      </c>
      <c r="B42" s="45" t="s">
        <v>119</v>
      </c>
      <c r="C42" s="92">
        <v>0.001962543269760776</v>
      </c>
      <c r="D42" s="93">
        <f t="shared" si="0"/>
        <v>0.09864005613232946</v>
      </c>
      <c r="E42" s="93">
        <f t="shared" si="1"/>
        <v>0.1972801122646589</v>
      </c>
      <c r="F42" s="93">
        <f t="shared" si="4"/>
        <v>0.29592016839698837</v>
      </c>
      <c r="G42" s="157">
        <f t="shared" si="2"/>
        <v>0.3945602245293178</v>
      </c>
      <c r="H42" s="94">
        <v>0.4932002806616473</v>
      </c>
      <c r="J42" s="170">
        <v>0.864059449676712</v>
      </c>
    </row>
    <row r="43" spans="1:10" ht="12.75">
      <c r="A43" s="45" t="s">
        <v>32</v>
      </c>
      <c r="B43" s="45" t="s">
        <v>119</v>
      </c>
      <c r="C43" s="92">
        <v>0.00452917566971668</v>
      </c>
      <c r="D43" s="93">
        <f t="shared" si="0"/>
        <v>1.407688212389169</v>
      </c>
      <c r="E43" s="93">
        <f t="shared" si="1"/>
        <v>2.815376424778338</v>
      </c>
      <c r="F43" s="93">
        <f t="shared" si="4"/>
        <v>4.223064637167507</v>
      </c>
      <c r="G43" s="157">
        <f t="shared" si="2"/>
        <v>5.630752849556676</v>
      </c>
      <c r="H43" s="94">
        <v>7.038441061945845</v>
      </c>
      <c r="J43" s="170">
        <v>6.7111294039572975</v>
      </c>
    </row>
    <row r="44" spans="1:10" ht="12.75">
      <c r="A44" s="45" t="s">
        <v>33</v>
      </c>
      <c r="B44" s="45" t="s">
        <v>119</v>
      </c>
      <c r="C44" s="92">
        <v>0.00418881573145188</v>
      </c>
      <c r="D44" s="93">
        <f t="shared" si="0"/>
        <v>0.18527166533406234</v>
      </c>
      <c r="E44" s="93">
        <f t="shared" si="1"/>
        <v>0.37054333066812467</v>
      </c>
      <c r="F44" s="93">
        <f t="shared" si="4"/>
        <v>0.555814996002187</v>
      </c>
      <c r="G44" s="157">
        <f t="shared" si="2"/>
        <v>0.7410866613362493</v>
      </c>
      <c r="H44" s="94">
        <v>0.9263583266703117</v>
      </c>
      <c r="J44" s="170">
        <v>1.684163372231107</v>
      </c>
    </row>
    <row r="45" spans="1:10" ht="12.75">
      <c r="A45" s="45" t="s">
        <v>34</v>
      </c>
      <c r="B45" s="45" t="s">
        <v>119</v>
      </c>
      <c r="C45" s="92">
        <v>0.003581740987763202</v>
      </c>
      <c r="D45" s="93">
        <f t="shared" si="0"/>
        <v>1.383649271249754</v>
      </c>
      <c r="E45" s="93">
        <f t="shared" si="1"/>
        <v>2.767298542499508</v>
      </c>
      <c r="F45" s="93">
        <f t="shared" si="4"/>
        <v>4.150947813749262</v>
      </c>
      <c r="G45" s="157">
        <f t="shared" si="2"/>
        <v>5.534597084999016</v>
      </c>
      <c r="H45" s="94">
        <v>6.91824635624877</v>
      </c>
      <c r="J45" s="170">
        <v>5.973155145412613</v>
      </c>
    </row>
    <row r="46" spans="1:10" ht="12.75">
      <c r="A46" s="45" t="s">
        <v>229</v>
      </c>
      <c r="B46" s="45" t="s">
        <v>119</v>
      </c>
      <c r="C46" s="92">
        <v>0.004707317274831882</v>
      </c>
      <c r="D46" s="93">
        <f t="shared" si="0"/>
        <v>1.6053596096647813</v>
      </c>
      <c r="E46" s="93">
        <f t="shared" si="1"/>
        <v>3.2107192193295626</v>
      </c>
      <c r="F46" s="93">
        <f t="shared" si="4"/>
        <v>4.816078828994344</v>
      </c>
      <c r="G46" s="157">
        <f t="shared" si="2"/>
        <v>6.421438438659125</v>
      </c>
      <c r="H46" s="94">
        <v>8.026798048323906</v>
      </c>
      <c r="J46" s="170">
        <v>5.302990150391004</v>
      </c>
    </row>
    <row r="47" spans="1:10" ht="12.75">
      <c r="A47" s="45" t="s">
        <v>223</v>
      </c>
      <c r="B47" s="60"/>
      <c r="C47" s="92">
        <v>0.02208342167346489</v>
      </c>
      <c r="D47" s="93"/>
      <c r="E47" s="93"/>
      <c r="F47" s="93"/>
      <c r="G47" s="157"/>
      <c r="H47" s="94"/>
      <c r="J47" s="170"/>
    </row>
    <row r="48" spans="1:10" ht="12.75">
      <c r="A48" s="45" t="s">
        <v>230</v>
      </c>
      <c r="B48" s="45" t="s">
        <v>119</v>
      </c>
      <c r="C48" s="92">
        <v>0.02108042167346489</v>
      </c>
      <c r="D48" s="93">
        <f t="shared" si="0"/>
        <v>2.5395537135466655</v>
      </c>
      <c r="E48" s="93">
        <f t="shared" si="1"/>
        <v>5.079107427093331</v>
      </c>
      <c r="F48" s="93">
        <f>$H48/5*3</f>
        <v>7.618661140639997</v>
      </c>
      <c r="G48" s="157">
        <f t="shared" si="2"/>
        <v>10.158214854186662</v>
      </c>
      <c r="H48" s="94">
        <v>12.697768567733327</v>
      </c>
      <c r="J48" s="170">
        <v>7.164506368757535</v>
      </c>
    </row>
    <row r="49" spans="1:10" ht="12.75">
      <c r="A49" s="45" t="s">
        <v>35</v>
      </c>
      <c r="B49" s="95" t="s">
        <v>124</v>
      </c>
      <c r="C49" s="96">
        <v>0.001003</v>
      </c>
      <c r="D49" s="93">
        <f t="shared" si="0"/>
        <v>0.17004195312182552</v>
      </c>
      <c r="E49" s="93">
        <f t="shared" si="1"/>
        <v>0.34008390624365104</v>
      </c>
      <c r="F49" s="93">
        <f>$H49/5*3</f>
        <v>0.5101258593654765</v>
      </c>
      <c r="G49" s="157">
        <f t="shared" si="2"/>
        <v>0.6801678124873021</v>
      </c>
      <c r="H49" s="97">
        <v>0.8502097656091275</v>
      </c>
      <c r="J49" s="171">
        <v>0.5701029770574094</v>
      </c>
    </row>
    <row r="50" spans="1:10" ht="12.75">
      <c r="A50" s="45" t="s">
        <v>36</v>
      </c>
      <c r="B50" s="60"/>
      <c r="C50" s="92">
        <v>0.0183854078932863</v>
      </c>
      <c r="D50" s="93"/>
      <c r="E50" s="93"/>
      <c r="F50" s="93"/>
      <c r="G50" s="157"/>
      <c r="H50" s="94"/>
      <c r="J50" s="170"/>
    </row>
    <row r="51" spans="1:10" ht="12.75">
      <c r="A51" s="45" t="s">
        <v>231</v>
      </c>
      <c r="B51" s="45" t="s">
        <v>119</v>
      </c>
      <c r="C51" s="92">
        <v>0.014693199206261713</v>
      </c>
      <c r="D51" s="93">
        <f t="shared" si="0"/>
        <v>0.2979219751055586</v>
      </c>
      <c r="E51" s="93">
        <f t="shared" si="1"/>
        <v>0.5958439502111172</v>
      </c>
      <c r="F51" s="93">
        <f>$H51/5*3</f>
        <v>0.8937659253166759</v>
      </c>
      <c r="G51" s="157">
        <f t="shared" si="2"/>
        <v>1.1916879004222345</v>
      </c>
      <c r="H51" s="94">
        <v>1.4896098755277931</v>
      </c>
      <c r="J51" s="170">
        <v>1.447821417140645</v>
      </c>
    </row>
    <row r="52" spans="1:10" ht="12.75">
      <c r="A52" s="45" t="s">
        <v>37</v>
      </c>
      <c r="B52" s="45" t="s">
        <v>125</v>
      </c>
      <c r="C52" s="92">
        <v>0.003692208687024584</v>
      </c>
      <c r="D52" s="93">
        <f t="shared" si="0"/>
        <v>1.463915085681122</v>
      </c>
      <c r="E52" s="93">
        <f t="shared" si="1"/>
        <v>2.927830171362244</v>
      </c>
      <c r="F52" s="93">
        <f>$H52/5*3</f>
        <v>4.391745257043366</v>
      </c>
      <c r="G52" s="157">
        <f t="shared" si="2"/>
        <v>5.855660342724488</v>
      </c>
      <c r="H52" s="94">
        <v>7.31957542840561</v>
      </c>
      <c r="J52" s="170">
        <v>1.628117067102669</v>
      </c>
    </row>
    <row r="53" spans="1:10" ht="12.75">
      <c r="A53" s="45" t="s">
        <v>38</v>
      </c>
      <c r="B53" s="60"/>
      <c r="C53" s="92">
        <v>0.002779606162495866</v>
      </c>
      <c r="D53" s="93"/>
      <c r="E53" s="93"/>
      <c r="F53" s="93"/>
      <c r="G53" s="157"/>
      <c r="H53" s="94"/>
      <c r="J53" s="170"/>
    </row>
    <row r="54" spans="1:10" ht="12.75">
      <c r="A54" s="45" t="s">
        <v>39</v>
      </c>
      <c r="B54" s="45" t="s">
        <v>126</v>
      </c>
      <c r="C54" s="92">
        <v>0.002779606162495866</v>
      </c>
      <c r="D54" s="93">
        <f t="shared" si="0"/>
        <v>0.45849944658071606</v>
      </c>
      <c r="E54" s="93">
        <f t="shared" si="1"/>
        <v>0.9169988931614321</v>
      </c>
      <c r="F54" s="93">
        <f>$H54/5*3</f>
        <v>1.375498339742148</v>
      </c>
      <c r="G54" s="157">
        <f t="shared" si="2"/>
        <v>1.8339977863228643</v>
      </c>
      <c r="H54" s="94">
        <v>2.2924972329035804</v>
      </c>
      <c r="J54" s="170">
        <v>2.7082152339245003</v>
      </c>
    </row>
    <row r="55" spans="1:10" ht="12.75">
      <c r="A55" s="45" t="s">
        <v>40</v>
      </c>
      <c r="B55" s="60"/>
      <c r="C55" s="92">
        <v>0.04461800325212215</v>
      </c>
      <c r="D55" s="93"/>
      <c r="E55" s="93"/>
      <c r="F55" s="93"/>
      <c r="G55" s="157"/>
      <c r="H55" s="94"/>
      <c r="J55" s="170"/>
    </row>
    <row r="56" spans="1:10" ht="12.75">
      <c r="A56" s="45" t="s">
        <v>235</v>
      </c>
      <c r="B56" s="45" t="s">
        <v>125</v>
      </c>
      <c r="C56" s="92">
        <v>0.008251240491676772</v>
      </c>
      <c r="D56" s="93">
        <f t="shared" si="0"/>
        <v>2.9542206201902106</v>
      </c>
      <c r="E56" s="93">
        <f t="shared" si="1"/>
        <v>5.908441240380421</v>
      </c>
      <c r="F56" s="93">
        <f>$H56/5*3</f>
        <v>8.862661860570633</v>
      </c>
      <c r="G56" s="157">
        <f t="shared" si="2"/>
        <v>11.816882480760842</v>
      </c>
      <c r="H56" s="94">
        <v>14.771103100951052</v>
      </c>
      <c r="J56" s="170">
        <v>7.482836872580045</v>
      </c>
    </row>
    <row r="57" spans="1:10" ht="12.75">
      <c r="A57" s="45" t="s">
        <v>41</v>
      </c>
      <c r="B57" s="45" t="s">
        <v>127</v>
      </c>
      <c r="C57" s="92">
        <v>0.03636676276044538</v>
      </c>
      <c r="D57" s="93">
        <f t="shared" si="0"/>
        <v>1.6415263976700742</v>
      </c>
      <c r="E57" s="93">
        <f t="shared" si="1"/>
        <v>3.2830527953401485</v>
      </c>
      <c r="F57" s="93">
        <f>$H57/5*3</f>
        <v>4.9245791930102225</v>
      </c>
      <c r="G57" s="157">
        <f t="shared" si="2"/>
        <v>6.566105590680297</v>
      </c>
      <c r="H57" s="94">
        <v>8.207631988350371</v>
      </c>
      <c r="J57" s="170">
        <v>10.94875823675094</v>
      </c>
    </row>
    <row r="58" spans="1:10" ht="12.75">
      <c r="A58" s="45" t="s">
        <v>42</v>
      </c>
      <c r="B58" s="60"/>
      <c r="C58" s="92">
        <v>0.23110246940800355</v>
      </c>
      <c r="D58" s="93"/>
      <c r="E58" s="93"/>
      <c r="F58" s="93"/>
      <c r="G58" s="157"/>
      <c r="H58" s="94"/>
      <c r="J58" s="157"/>
    </row>
    <row r="59" spans="1:10" ht="12.75">
      <c r="A59" s="45" t="s">
        <v>290</v>
      </c>
      <c r="B59" s="45" t="s">
        <v>129</v>
      </c>
      <c r="C59" s="92">
        <v>0.1641311161944659</v>
      </c>
      <c r="D59" s="98">
        <v>1</v>
      </c>
      <c r="E59" s="98">
        <v>1</v>
      </c>
      <c r="F59" s="98">
        <v>1</v>
      </c>
      <c r="G59" s="158">
        <v>1</v>
      </c>
      <c r="H59" s="102">
        <v>1</v>
      </c>
      <c r="I59" s="152"/>
      <c r="J59" s="172">
        <v>1</v>
      </c>
    </row>
    <row r="60" spans="1:10" ht="12.75">
      <c r="A60" s="45" t="s">
        <v>44</v>
      </c>
      <c r="B60" s="60"/>
      <c r="C60" s="92">
        <v>0.040487</v>
      </c>
      <c r="D60" s="93"/>
      <c r="E60" s="93"/>
      <c r="F60" s="93"/>
      <c r="G60" s="157"/>
      <c r="H60" s="94"/>
      <c r="J60" s="157"/>
    </row>
    <row r="61" spans="1:10" ht="12.75">
      <c r="A61" s="45" t="s">
        <v>259</v>
      </c>
      <c r="B61" s="95" t="s">
        <v>272</v>
      </c>
      <c r="C61" s="96">
        <v>0.020176</v>
      </c>
      <c r="D61" s="98">
        <v>0.5</v>
      </c>
      <c r="E61" s="98">
        <f>$H61/5*3</f>
        <v>0.5999964585783035</v>
      </c>
      <c r="F61" s="102">
        <f>$H61/5*3</f>
        <v>0.5999964585783035</v>
      </c>
      <c r="G61" s="159">
        <f t="shared" si="2"/>
        <v>0.7999952781044046</v>
      </c>
      <c r="H61" s="97">
        <v>0.9999940976305058</v>
      </c>
      <c r="J61" s="171">
        <v>1</v>
      </c>
    </row>
    <row r="62" spans="1:10" ht="12.75">
      <c r="A62" s="45" t="s">
        <v>45</v>
      </c>
      <c r="B62" s="95" t="s">
        <v>271</v>
      </c>
      <c r="C62" s="96">
        <v>0.020311</v>
      </c>
      <c r="D62" s="100">
        <f t="shared" si="0"/>
        <v>0.2740053197560802</v>
      </c>
      <c r="E62" s="100">
        <f t="shared" si="1"/>
        <v>0.5480106395121604</v>
      </c>
      <c r="F62" s="100">
        <f>$H62/5*3</f>
        <v>0.8220159592682407</v>
      </c>
      <c r="G62" s="159">
        <f t="shared" si="2"/>
        <v>1.096021279024321</v>
      </c>
      <c r="H62" s="97">
        <v>1.370026598780401</v>
      </c>
      <c r="J62" s="171">
        <v>1.4734745268807201</v>
      </c>
    </row>
    <row r="63" spans="1:10" ht="12.75">
      <c r="A63" s="45" t="s">
        <v>46</v>
      </c>
      <c r="B63" s="60"/>
      <c r="C63" s="92">
        <v>0.023489782879506118</v>
      </c>
      <c r="D63" s="100"/>
      <c r="E63" s="100"/>
      <c r="F63" s="100"/>
      <c r="G63" s="159"/>
      <c r="H63" s="94"/>
      <c r="J63" s="157"/>
    </row>
    <row r="64" spans="1:10" ht="12.75">
      <c r="A64" s="45" t="s">
        <v>47</v>
      </c>
      <c r="B64" s="95" t="s">
        <v>132</v>
      </c>
      <c r="C64" s="96">
        <v>0.010993</v>
      </c>
      <c r="D64" s="100">
        <f t="shared" si="0"/>
        <v>0.1380046674445741</v>
      </c>
      <c r="E64" s="100">
        <f t="shared" si="1"/>
        <v>0.2760093348891482</v>
      </c>
      <c r="F64" s="100">
        <f>$H64/5*3</f>
        <v>0.4140140023337223</v>
      </c>
      <c r="G64" s="159">
        <f t="shared" si="2"/>
        <v>0.5520186697782964</v>
      </c>
      <c r="H64" s="97">
        <v>0.6900233372228705</v>
      </c>
      <c r="J64" s="173">
        <v>0.5262409024574001</v>
      </c>
    </row>
    <row r="65" spans="1:10" ht="12.75">
      <c r="A65" s="45" t="s">
        <v>48</v>
      </c>
      <c r="B65" s="45" t="s">
        <v>133</v>
      </c>
      <c r="C65" s="92">
        <v>0.0027298459376033516</v>
      </c>
      <c r="D65" s="93">
        <f t="shared" si="0"/>
        <v>0.4020437426104303</v>
      </c>
      <c r="E65" s="93">
        <f t="shared" si="1"/>
        <v>0.8040874852208606</v>
      </c>
      <c r="F65" s="93">
        <f>$H65/5*3</f>
        <v>1.2061312278312908</v>
      </c>
      <c r="G65" s="157">
        <f t="shared" si="2"/>
        <v>1.6081749704417212</v>
      </c>
      <c r="H65" s="94">
        <v>2.0102187130521516</v>
      </c>
      <c r="J65" s="157">
        <v>1.1042406541559653</v>
      </c>
    </row>
    <row r="66" spans="1:10" ht="12.75">
      <c r="A66" s="45" t="s">
        <v>236</v>
      </c>
      <c r="B66" s="45" t="s">
        <v>134</v>
      </c>
      <c r="C66" s="92">
        <v>0.006789285084334693</v>
      </c>
      <c r="D66" s="93">
        <f t="shared" si="0"/>
        <v>1.5335993742620664</v>
      </c>
      <c r="E66" s="93">
        <f t="shared" si="1"/>
        <v>3.0671987485241328</v>
      </c>
      <c r="F66" s="93">
        <f>$H66/5*3</f>
        <v>4.600798122786199</v>
      </c>
      <c r="G66" s="157">
        <f t="shared" si="2"/>
        <v>6.1343974970482655</v>
      </c>
      <c r="H66" s="94">
        <v>7.667996871310332</v>
      </c>
      <c r="J66" s="157">
        <v>6.154975014139468</v>
      </c>
    </row>
    <row r="67" spans="1:10" ht="12.75">
      <c r="A67" s="45" t="s">
        <v>237</v>
      </c>
      <c r="B67" s="45" t="s">
        <v>135</v>
      </c>
      <c r="C67" s="92">
        <v>0.0029776518575680743</v>
      </c>
      <c r="D67" s="93">
        <f t="shared" si="0"/>
        <v>0.5382337424312601</v>
      </c>
      <c r="E67" s="93">
        <f t="shared" si="1"/>
        <v>1.0764674848625202</v>
      </c>
      <c r="F67" s="93">
        <f>$H67/5*3</f>
        <v>1.6147012272937804</v>
      </c>
      <c r="G67" s="157">
        <f t="shared" si="2"/>
        <v>2.1529349697250404</v>
      </c>
      <c r="H67" s="94">
        <v>2.6911687121563004</v>
      </c>
      <c r="J67" s="157">
        <v>3.1391708173654655</v>
      </c>
    </row>
    <row r="68" spans="1:10" ht="12.75">
      <c r="A68" s="45" t="s">
        <v>49</v>
      </c>
      <c r="B68" s="92"/>
      <c r="C68" s="92">
        <v>0.0029945703340315292</v>
      </c>
      <c r="D68" s="93"/>
      <c r="E68" s="93"/>
      <c r="F68" s="93"/>
      <c r="G68" s="157"/>
      <c r="H68" s="94"/>
      <c r="J68" s="157"/>
    </row>
    <row r="69" spans="1:10" ht="12.75">
      <c r="A69" s="45" t="s">
        <v>50</v>
      </c>
      <c r="B69" s="45" t="s">
        <v>127</v>
      </c>
      <c r="C69" s="92">
        <v>0.0024501934737074195</v>
      </c>
      <c r="D69" s="98">
        <v>0.446653392080537</v>
      </c>
      <c r="E69" s="98">
        <v>0.44665339208053745</v>
      </c>
      <c r="F69" s="98">
        <v>0.44665339208053745</v>
      </c>
      <c r="G69" s="158">
        <v>0.44665339208053745</v>
      </c>
      <c r="H69" s="94">
        <v>0.44665339208053745</v>
      </c>
      <c r="J69" s="157">
        <v>0.5723479144744972</v>
      </c>
    </row>
    <row r="70" spans="1:10" ht="12.75">
      <c r="A70" s="45" t="s">
        <v>51</v>
      </c>
      <c r="B70" s="45" t="s">
        <v>127</v>
      </c>
      <c r="C70" s="92">
        <v>0.0005443768603241098</v>
      </c>
      <c r="D70" s="98">
        <v>0.21876794716756515</v>
      </c>
      <c r="E70" s="98">
        <v>0.21876794716756515</v>
      </c>
      <c r="F70" s="98">
        <v>0.21876794716756515</v>
      </c>
      <c r="G70" s="158">
        <v>0.21876794716756515</v>
      </c>
      <c r="H70" s="94">
        <v>0.21876794716756515</v>
      </c>
      <c r="J70" s="157">
        <v>0.2663980460859923</v>
      </c>
    </row>
    <row r="71" spans="1:10" ht="12.75">
      <c r="A71" s="45" t="s">
        <v>52</v>
      </c>
      <c r="B71" s="60"/>
      <c r="C71" s="92">
        <v>0.1002778004078933</v>
      </c>
      <c r="D71" s="93"/>
      <c r="E71" s="93"/>
      <c r="F71" s="93"/>
      <c r="G71" s="157"/>
      <c r="H71" s="94"/>
      <c r="J71" s="157"/>
    </row>
    <row r="72" spans="1:10" ht="12.75">
      <c r="A72" s="45" t="s">
        <v>53</v>
      </c>
      <c r="B72" s="60"/>
      <c r="C72" s="92">
        <v>0.011914588248263698</v>
      </c>
      <c r="D72" s="93"/>
      <c r="E72" s="93"/>
      <c r="F72" s="93"/>
      <c r="G72" s="157"/>
      <c r="H72" s="94"/>
      <c r="J72" s="157"/>
    </row>
    <row r="73" spans="1:10" ht="12.75">
      <c r="A73" s="45" t="s">
        <v>262</v>
      </c>
      <c r="B73" s="45" t="s">
        <v>136</v>
      </c>
      <c r="C73" s="92">
        <v>0.0072261798588909715</v>
      </c>
      <c r="D73" s="93">
        <f aca="true" t="shared" si="5" ref="D73:D110">$H73/5</f>
        <v>0.050035348312847616</v>
      </c>
      <c r="E73" s="93">
        <f aca="true" t="shared" si="6" ref="E73:E110">$H73/5*2</f>
        <v>0.10007069662569523</v>
      </c>
      <c r="F73" s="93">
        <f aca="true" t="shared" si="7" ref="F73:F110">$H73/5*3</f>
        <v>0.15010604493854285</v>
      </c>
      <c r="G73" s="157">
        <f aca="true" t="shared" si="8" ref="G73:G110">$H73/5*4</f>
        <v>0.20014139325139046</v>
      </c>
      <c r="H73" s="94">
        <v>0.2501767415642381</v>
      </c>
      <c r="J73" s="157">
        <v>0.33730048470283513</v>
      </c>
    </row>
    <row r="74" spans="1:10" ht="12.75">
      <c r="A74" s="45" t="s">
        <v>238</v>
      </c>
      <c r="B74" s="45" t="s">
        <v>136</v>
      </c>
      <c r="C74" s="92">
        <v>0.004688408389372727</v>
      </c>
      <c r="D74" s="93">
        <f t="shared" si="5"/>
        <v>0.1469909962190387</v>
      </c>
      <c r="E74" s="93">
        <f t="shared" si="6"/>
        <v>0.2939819924380774</v>
      </c>
      <c r="F74" s="93">
        <f t="shared" si="7"/>
        <v>0.4409729886571161</v>
      </c>
      <c r="G74" s="157">
        <f t="shared" si="8"/>
        <v>0.5879639848761548</v>
      </c>
      <c r="H74" s="94">
        <v>0.7349549810951934</v>
      </c>
      <c r="J74" s="174" t="s">
        <v>301</v>
      </c>
    </row>
    <row r="75" spans="1:10" ht="12.75">
      <c r="A75" s="45" t="s">
        <v>54</v>
      </c>
      <c r="B75" s="92"/>
      <c r="C75" s="92">
        <v>0.047337897144747</v>
      </c>
      <c r="D75" s="93"/>
      <c r="E75" s="93"/>
      <c r="F75" s="93"/>
      <c r="G75" s="157"/>
      <c r="H75" s="94"/>
      <c r="J75" s="175"/>
    </row>
    <row r="76" spans="1:10" ht="12.75">
      <c r="A76" s="45" t="s">
        <v>55</v>
      </c>
      <c r="B76" s="45" t="s">
        <v>127</v>
      </c>
      <c r="C76" s="92">
        <v>0.011650859056333372</v>
      </c>
      <c r="D76" s="93">
        <f t="shared" si="5"/>
        <v>0.05081514410441938</v>
      </c>
      <c r="E76" s="93">
        <f t="shared" si="6"/>
        <v>0.10163028820883876</v>
      </c>
      <c r="F76" s="93">
        <f t="shared" si="7"/>
        <v>0.15244543231325813</v>
      </c>
      <c r="G76" s="157">
        <f t="shared" si="8"/>
        <v>0.20326057641767753</v>
      </c>
      <c r="H76" s="94">
        <v>0.2540757205220969</v>
      </c>
      <c r="J76" s="157">
        <v>0.13336183141320218</v>
      </c>
    </row>
    <row r="77" spans="1:10" ht="12.75">
      <c r="A77" s="45" t="s">
        <v>56</v>
      </c>
      <c r="B77" s="45" t="s">
        <v>127</v>
      </c>
      <c r="C77" s="92">
        <v>0.002023250744129644</v>
      </c>
      <c r="D77" s="93">
        <f t="shared" si="5"/>
        <v>0.04078258291529216</v>
      </c>
      <c r="E77" s="93">
        <f t="shared" si="6"/>
        <v>0.08156516583058432</v>
      </c>
      <c r="F77" s="93">
        <f t="shared" si="7"/>
        <v>0.12234774874587648</v>
      </c>
      <c r="G77" s="157">
        <f t="shared" si="8"/>
        <v>0.16313033166116864</v>
      </c>
      <c r="H77" s="94">
        <v>0.2039129145764608</v>
      </c>
      <c r="J77" s="157">
        <v>0.27359893619632764</v>
      </c>
    </row>
    <row r="78" spans="1:10" ht="12.75">
      <c r="A78" s="45" t="s">
        <v>239</v>
      </c>
      <c r="B78" s="45" t="s">
        <v>127</v>
      </c>
      <c r="C78" s="92">
        <v>0.018095803384411864</v>
      </c>
      <c r="D78" s="93">
        <f t="shared" si="5"/>
        <v>0.052256825991909714</v>
      </c>
      <c r="E78" s="93">
        <f t="shared" si="6"/>
        <v>0.10451365198381943</v>
      </c>
      <c r="F78" s="93">
        <f t="shared" si="7"/>
        <v>0.15677047797572913</v>
      </c>
      <c r="G78" s="157">
        <f t="shared" si="8"/>
        <v>0.20902730396763886</v>
      </c>
      <c r="H78" s="94">
        <v>0.2612841299595486</v>
      </c>
      <c r="J78" s="157">
        <v>0.21520111045555312</v>
      </c>
    </row>
    <row r="79" spans="1:10" ht="12.75">
      <c r="A79" s="45" t="s">
        <v>57</v>
      </c>
      <c r="B79" s="45" t="s">
        <v>127</v>
      </c>
      <c r="C79" s="92">
        <v>0.015567983959872122</v>
      </c>
      <c r="D79" s="93">
        <f t="shared" si="5"/>
        <v>0.03448524126719506</v>
      </c>
      <c r="E79" s="93">
        <f t="shared" si="6"/>
        <v>0.06897048253439012</v>
      </c>
      <c r="F79" s="93">
        <f t="shared" si="7"/>
        <v>0.10345572380158517</v>
      </c>
      <c r="G79" s="157">
        <f t="shared" si="8"/>
        <v>0.13794096506878023</v>
      </c>
      <c r="H79" s="94">
        <v>0.1724262063359753</v>
      </c>
      <c r="J79" s="157">
        <v>0.1461744838552826</v>
      </c>
    </row>
    <row r="80" spans="1:10" ht="12.75">
      <c r="A80" s="45" t="s">
        <v>58</v>
      </c>
      <c r="B80" s="92"/>
      <c r="C80" s="92">
        <v>0.03658073172748319</v>
      </c>
      <c r="D80" s="93"/>
      <c r="E80" s="93"/>
      <c r="F80" s="93"/>
      <c r="G80" s="157"/>
      <c r="H80" s="94"/>
      <c r="J80" s="157"/>
    </row>
    <row r="81" spans="1:10" ht="12.75">
      <c r="A81" s="45" t="s">
        <v>59</v>
      </c>
      <c r="B81" s="45" t="s">
        <v>127</v>
      </c>
      <c r="C81" s="92">
        <v>0.005188001047293573</v>
      </c>
      <c r="D81" s="93">
        <f t="shared" si="5"/>
        <v>0.02262940944007525</v>
      </c>
      <c r="E81" s="93">
        <f t="shared" si="6"/>
        <v>0.0452588188801505</v>
      </c>
      <c r="F81" s="93">
        <f t="shared" si="7"/>
        <v>0.06788822832022576</v>
      </c>
      <c r="G81" s="157">
        <f t="shared" si="8"/>
        <v>0.090517637760301</v>
      </c>
      <c r="H81" s="94">
        <v>0.11314704720037624</v>
      </c>
      <c r="J81" s="157">
        <v>0.08798525245488231</v>
      </c>
    </row>
    <row r="82" spans="1:10" ht="12.75">
      <c r="A82" s="45" t="s">
        <v>60</v>
      </c>
      <c r="B82" s="45" t="s">
        <v>127</v>
      </c>
      <c r="C82" s="92">
        <v>0.0011604084444934407</v>
      </c>
      <c r="D82" s="93">
        <f t="shared" si="5"/>
        <v>0.033923042269286705</v>
      </c>
      <c r="E82" s="93">
        <f t="shared" si="6"/>
        <v>0.06784608453857341</v>
      </c>
      <c r="F82" s="93">
        <f t="shared" si="7"/>
        <v>0.10176912680786011</v>
      </c>
      <c r="G82" s="157">
        <f t="shared" si="8"/>
        <v>0.13569216907714682</v>
      </c>
      <c r="H82" s="94">
        <v>0.1696152113464335</v>
      </c>
      <c r="J82" s="157">
        <v>0.1388184277102129</v>
      </c>
    </row>
    <row r="83" spans="1:10" ht="12.75">
      <c r="A83" s="45" t="s">
        <v>61</v>
      </c>
      <c r="B83" s="45" t="s">
        <v>127</v>
      </c>
      <c r="C83" s="92">
        <v>0.007302810605225444</v>
      </c>
      <c r="D83" s="93">
        <f t="shared" si="5"/>
        <v>0.031632350167159186</v>
      </c>
      <c r="E83" s="93">
        <f t="shared" si="6"/>
        <v>0.06326470033431837</v>
      </c>
      <c r="F83" s="93">
        <f t="shared" si="7"/>
        <v>0.09489705050147756</v>
      </c>
      <c r="G83" s="157">
        <f t="shared" si="8"/>
        <v>0.12652940066863674</v>
      </c>
      <c r="H83" s="94">
        <v>0.15816175083579592</v>
      </c>
      <c r="J83" s="157">
        <v>0.13912262864942673</v>
      </c>
    </row>
    <row r="84" spans="1:10" ht="12.75">
      <c r="A84" s="45" t="s">
        <v>62</v>
      </c>
      <c r="B84" s="45" t="s">
        <v>138</v>
      </c>
      <c r="C84" s="92">
        <v>0.002473083177157976</v>
      </c>
      <c r="D84" s="93">
        <f t="shared" si="5"/>
        <v>0.1682239116830932</v>
      </c>
      <c r="E84" s="93">
        <f t="shared" si="6"/>
        <v>0.3364478233661864</v>
      </c>
      <c r="F84" s="93">
        <f t="shared" si="7"/>
        <v>0.5046717350492795</v>
      </c>
      <c r="G84" s="157">
        <f t="shared" si="8"/>
        <v>0.6728956467323728</v>
      </c>
      <c r="H84" s="94">
        <v>0.841119558415466</v>
      </c>
      <c r="J84" s="157">
        <v>0.7167694588894259</v>
      </c>
    </row>
    <row r="85" spans="1:10" ht="12.75">
      <c r="A85" s="45" t="s">
        <v>240</v>
      </c>
      <c r="B85" s="45" t="s">
        <v>127</v>
      </c>
      <c r="C85" s="92">
        <v>0.007098793683166134</v>
      </c>
      <c r="D85" s="93">
        <f t="shared" si="5"/>
        <v>0.024355673144872796</v>
      </c>
      <c r="E85" s="93">
        <f t="shared" si="6"/>
        <v>0.04871134628974559</v>
      </c>
      <c r="F85" s="93">
        <f t="shared" si="7"/>
        <v>0.07306701943461838</v>
      </c>
      <c r="G85" s="157">
        <f t="shared" si="8"/>
        <v>0.09742269257949118</v>
      </c>
      <c r="H85" s="94">
        <v>0.12177836572436398</v>
      </c>
      <c r="J85" s="157">
        <v>0.08134033539201131</v>
      </c>
    </row>
    <row r="86" spans="1:10" ht="12.75">
      <c r="A86" s="45" t="s">
        <v>63</v>
      </c>
      <c r="B86" s="45" t="s">
        <v>127</v>
      </c>
      <c r="C86" s="92">
        <v>0.013357634770146622</v>
      </c>
      <c r="D86" s="93">
        <f t="shared" si="5"/>
        <v>0.0352973526309807</v>
      </c>
      <c r="E86" s="93">
        <f t="shared" si="6"/>
        <v>0.0705947052619614</v>
      </c>
      <c r="F86" s="93">
        <f t="shared" si="7"/>
        <v>0.1058920578929421</v>
      </c>
      <c r="G86" s="157">
        <f t="shared" si="8"/>
        <v>0.1411894105239228</v>
      </c>
      <c r="H86" s="94">
        <v>0.1764867631549035</v>
      </c>
      <c r="J86" s="157">
        <v>0.1903268126288055</v>
      </c>
    </row>
    <row r="87" spans="1:10" ht="12.75">
      <c r="A87" s="45" t="s">
        <v>224</v>
      </c>
      <c r="B87" s="92"/>
      <c r="C87" s="92">
        <v>0.004444583287399405</v>
      </c>
      <c r="D87" s="93"/>
      <c r="E87" s="93"/>
      <c r="F87" s="93"/>
      <c r="G87" s="157"/>
      <c r="H87" s="94"/>
      <c r="J87" s="157"/>
    </row>
    <row r="88" spans="1:10" ht="12.75">
      <c r="A88" s="45" t="s">
        <v>241</v>
      </c>
      <c r="B88" s="45" t="s">
        <v>138</v>
      </c>
      <c r="C88" s="92">
        <v>0.004444583287399405</v>
      </c>
      <c r="D88" s="93">
        <f t="shared" si="5"/>
        <v>0.04527880175902242</v>
      </c>
      <c r="E88" s="93">
        <f t="shared" si="6"/>
        <v>0.09055760351804484</v>
      </c>
      <c r="F88" s="93">
        <f t="shared" si="7"/>
        <v>0.13583640527706725</v>
      </c>
      <c r="G88" s="157">
        <f t="shared" si="8"/>
        <v>0.1811152070360897</v>
      </c>
      <c r="H88" s="94">
        <v>0.2263940087951121</v>
      </c>
      <c r="J88" s="157">
        <v>0.18905237399787417</v>
      </c>
    </row>
    <row r="89" spans="1:10" ht="12.75">
      <c r="A89" s="45" t="s">
        <v>64</v>
      </c>
      <c r="B89" s="60"/>
      <c r="C89" s="92">
        <v>0.21033917230735313</v>
      </c>
      <c r="D89" s="93"/>
      <c r="E89" s="93"/>
      <c r="F89" s="93"/>
      <c r="G89" s="157"/>
      <c r="H89" s="94"/>
      <c r="J89" s="157"/>
    </row>
    <row r="90" spans="1:10" ht="12.75">
      <c r="A90" s="45" t="s">
        <v>65</v>
      </c>
      <c r="B90" s="92"/>
      <c r="C90" s="92">
        <v>0.06024271386837174</v>
      </c>
      <c r="D90" s="93"/>
      <c r="E90" s="93"/>
      <c r="F90" s="93"/>
      <c r="G90" s="157"/>
      <c r="H90" s="94"/>
      <c r="J90" s="157"/>
    </row>
    <row r="91" spans="1:10" ht="12.75">
      <c r="A91" s="45" t="s">
        <v>265</v>
      </c>
      <c r="B91" s="45" t="s">
        <v>139</v>
      </c>
      <c r="C91" s="92">
        <v>0.009585809723294014</v>
      </c>
      <c r="D91" s="93">
        <f t="shared" si="5"/>
        <v>0.06225898777871082</v>
      </c>
      <c r="E91" s="93">
        <f t="shared" si="6"/>
        <v>0.12451797555742164</v>
      </c>
      <c r="F91" s="93">
        <f t="shared" si="7"/>
        <v>0.18677696333613247</v>
      </c>
      <c r="G91" s="157">
        <f t="shared" si="8"/>
        <v>0.24903595111484328</v>
      </c>
      <c r="H91" s="94">
        <v>0.3112949388935541</v>
      </c>
      <c r="J91" s="157">
        <v>0.5756099928830931</v>
      </c>
    </row>
    <row r="92" spans="1:10" ht="12.75">
      <c r="A92" s="45" t="s">
        <v>66</v>
      </c>
      <c r="B92" s="92" t="s">
        <v>291</v>
      </c>
      <c r="C92" s="92">
        <v>0.05065690414507772</v>
      </c>
      <c r="D92" s="93">
        <f t="shared" si="5"/>
        <v>0.718012609531427</v>
      </c>
      <c r="E92" s="93">
        <f t="shared" si="6"/>
        <v>1.436025219062854</v>
      </c>
      <c r="F92" s="93">
        <f t="shared" si="7"/>
        <v>2.154037828594281</v>
      </c>
      <c r="G92" s="157">
        <f t="shared" si="8"/>
        <v>2.872050438125708</v>
      </c>
      <c r="H92" s="94">
        <v>3.590063047657135</v>
      </c>
      <c r="J92" s="157">
        <v>0.47326987998936565</v>
      </c>
    </row>
    <row r="93" spans="1:10" ht="12.75">
      <c r="A93" s="45" t="s">
        <v>67</v>
      </c>
      <c r="B93" s="92"/>
      <c r="C93" s="92">
        <v>0.0423967068129203</v>
      </c>
      <c r="D93" s="93"/>
      <c r="E93" s="93"/>
      <c r="F93" s="93"/>
      <c r="G93" s="157"/>
      <c r="H93" s="94"/>
      <c r="J93" s="157"/>
    </row>
    <row r="94" spans="1:10" ht="12.75">
      <c r="A94" s="45" t="s">
        <v>68</v>
      </c>
      <c r="B94" s="45" t="s">
        <v>140</v>
      </c>
      <c r="C94" s="92">
        <v>0.007972583232278691</v>
      </c>
      <c r="D94" s="93">
        <f t="shared" si="5"/>
        <v>0.3499922353074243</v>
      </c>
      <c r="E94" s="93">
        <f t="shared" si="6"/>
        <v>0.6999844706148486</v>
      </c>
      <c r="F94" s="93">
        <f t="shared" si="7"/>
        <v>1.0499767059222729</v>
      </c>
      <c r="G94" s="157">
        <f t="shared" si="8"/>
        <v>1.3999689412296972</v>
      </c>
      <c r="H94" s="94">
        <v>1.7499611765371215</v>
      </c>
      <c r="J94" s="157">
        <v>2.0846658567974896</v>
      </c>
    </row>
    <row r="95" spans="1:10" ht="12.75">
      <c r="A95" s="45" t="s">
        <v>69</v>
      </c>
      <c r="B95" s="45" t="s">
        <v>141</v>
      </c>
      <c r="C95" s="92">
        <v>0.008687140061735201</v>
      </c>
      <c r="D95" s="93">
        <f t="shared" si="5"/>
        <v>0.23908721451301695</v>
      </c>
      <c r="E95" s="93">
        <f t="shared" si="6"/>
        <v>0.4781744290260339</v>
      </c>
      <c r="F95" s="93">
        <f t="shared" si="7"/>
        <v>0.7172616435390509</v>
      </c>
      <c r="G95" s="157">
        <f t="shared" si="8"/>
        <v>0.9563488580520678</v>
      </c>
      <c r="H95" s="94">
        <v>1.1954360725650848</v>
      </c>
      <c r="J95" s="157">
        <v>1.1323999971198755</v>
      </c>
    </row>
    <row r="96" spans="1:10" ht="12.75">
      <c r="A96" s="45" t="s">
        <v>243</v>
      </c>
      <c r="B96" s="45" t="s">
        <v>142</v>
      </c>
      <c r="C96" s="92">
        <v>0.006248889042001984</v>
      </c>
      <c r="D96" s="93">
        <f t="shared" si="5"/>
        <v>1.0329927905674368</v>
      </c>
      <c r="E96" s="93">
        <f t="shared" si="6"/>
        <v>2.0659855811348735</v>
      </c>
      <c r="F96" s="93">
        <f t="shared" si="7"/>
        <v>3.0989783717023105</v>
      </c>
      <c r="G96" s="157">
        <f t="shared" si="8"/>
        <v>4.131971162269747</v>
      </c>
      <c r="H96" s="94">
        <v>5.164963952837184</v>
      </c>
      <c r="J96" s="157">
        <v>2.0417465406031354</v>
      </c>
    </row>
    <row r="97" spans="1:10" ht="12.75">
      <c r="A97" s="45" t="s">
        <v>70</v>
      </c>
      <c r="B97" s="45" t="s">
        <v>143</v>
      </c>
      <c r="C97" s="92">
        <v>0.007482942619336346</v>
      </c>
      <c r="D97" s="93">
        <f t="shared" si="5"/>
        <v>0.5397653919702683</v>
      </c>
      <c r="E97" s="93">
        <f t="shared" si="6"/>
        <v>1.0795307839405366</v>
      </c>
      <c r="F97" s="93">
        <f t="shared" si="7"/>
        <v>1.6192961759108049</v>
      </c>
      <c r="G97" s="157">
        <f t="shared" si="8"/>
        <v>2.159061567881073</v>
      </c>
      <c r="H97" s="94">
        <v>2.6988269598513415</v>
      </c>
      <c r="J97" s="157">
        <v>1.136923881818994</v>
      </c>
    </row>
    <row r="98" spans="1:10" ht="12.75">
      <c r="A98" s="45" t="s">
        <v>144</v>
      </c>
      <c r="B98" s="45" t="s">
        <v>145</v>
      </c>
      <c r="C98" s="92">
        <v>0.012005151857568076</v>
      </c>
      <c r="D98" s="93">
        <f t="shared" si="5"/>
        <v>0.23211023712639628</v>
      </c>
      <c r="E98" s="93">
        <f t="shared" si="6"/>
        <v>0.46422047425279256</v>
      </c>
      <c r="F98" s="93">
        <f t="shared" si="7"/>
        <v>0.6963307113791888</v>
      </c>
      <c r="G98" s="157">
        <f t="shared" si="8"/>
        <v>0.9284409485055851</v>
      </c>
      <c r="H98" s="94">
        <v>1.1605511856319815</v>
      </c>
      <c r="J98" s="157">
        <v>1.3883139367282868</v>
      </c>
    </row>
    <row r="99" spans="1:10" ht="12.75">
      <c r="A99" s="45" t="s">
        <v>71</v>
      </c>
      <c r="B99" s="92"/>
      <c r="C99" s="92">
        <v>0.023842114154999452</v>
      </c>
      <c r="D99" s="93"/>
      <c r="E99" s="93"/>
      <c r="F99" s="93"/>
      <c r="G99" s="157"/>
      <c r="H99" s="94"/>
      <c r="J99" s="157"/>
    </row>
    <row r="100" spans="1:10" ht="12.75">
      <c r="A100" s="45" t="s">
        <v>72</v>
      </c>
      <c r="B100" s="45" t="s">
        <v>146</v>
      </c>
      <c r="C100" s="92">
        <v>0.008985701411090289</v>
      </c>
      <c r="D100" s="93">
        <f t="shared" si="5"/>
        <v>0.6924889674608437</v>
      </c>
      <c r="E100" s="93">
        <f t="shared" si="6"/>
        <v>1.3849779349216873</v>
      </c>
      <c r="F100" s="93">
        <f t="shared" si="7"/>
        <v>2.0774669023825307</v>
      </c>
      <c r="G100" s="157">
        <f t="shared" si="8"/>
        <v>2.7699558698433746</v>
      </c>
      <c r="H100" s="94">
        <v>3.462444837304218</v>
      </c>
      <c r="J100" s="174" t="s">
        <v>301</v>
      </c>
    </row>
    <row r="101" spans="1:10" ht="12.75">
      <c r="A101" s="45" t="s">
        <v>244</v>
      </c>
      <c r="B101" s="45" t="s">
        <v>147</v>
      </c>
      <c r="C101" s="92">
        <v>0.008578662771469518</v>
      </c>
      <c r="D101" s="93">
        <f t="shared" si="5"/>
        <v>0.25103641563005535</v>
      </c>
      <c r="E101" s="93">
        <f t="shared" si="6"/>
        <v>0.5020728312601107</v>
      </c>
      <c r="F101" s="93">
        <f t="shared" si="7"/>
        <v>0.7531092468901661</v>
      </c>
      <c r="G101" s="157">
        <f t="shared" si="8"/>
        <v>1.0041456625202214</v>
      </c>
      <c r="H101" s="94">
        <v>1.2551820781502767</v>
      </c>
      <c r="J101" s="157">
        <v>2.5265533916346614</v>
      </c>
    </row>
    <row r="102" spans="1:10" ht="12.75">
      <c r="A102" s="45" t="s">
        <v>245</v>
      </c>
      <c r="B102" s="45" t="s">
        <v>127</v>
      </c>
      <c r="C102" s="92">
        <v>0.006277749972439644</v>
      </c>
      <c r="D102" s="93">
        <f t="shared" si="5"/>
        <v>2.0093127335660346</v>
      </c>
      <c r="E102" s="93">
        <f t="shared" si="6"/>
        <v>4.018625467132069</v>
      </c>
      <c r="F102" s="93">
        <f t="shared" si="7"/>
        <v>6.027938200698104</v>
      </c>
      <c r="G102" s="157">
        <f t="shared" si="8"/>
        <v>8.037250934264138</v>
      </c>
      <c r="H102" s="94">
        <v>10.046563667830172</v>
      </c>
      <c r="J102" s="157">
        <v>9.10951155404676</v>
      </c>
    </row>
    <row r="103" spans="1:10" ht="12.75">
      <c r="A103" s="45" t="s">
        <v>73</v>
      </c>
      <c r="B103" s="60"/>
      <c r="C103" s="92">
        <v>0.011676734373277478</v>
      </c>
      <c r="D103" s="93"/>
      <c r="E103" s="93"/>
      <c r="F103" s="93"/>
      <c r="G103" s="157"/>
      <c r="H103" s="94"/>
      <c r="J103" s="157"/>
    </row>
    <row r="104" spans="1:10" ht="12.75">
      <c r="A104" s="45" t="s">
        <v>74</v>
      </c>
      <c r="B104" s="45" t="s">
        <v>148</v>
      </c>
      <c r="C104" s="92">
        <v>0.011676734373277478</v>
      </c>
      <c r="D104" s="93">
        <f t="shared" si="5"/>
        <v>1.4787466620803205</v>
      </c>
      <c r="E104" s="93">
        <f t="shared" si="6"/>
        <v>2.957493324160641</v>
      </c>
      <c r="F104" s="93">
        <f t="shared" si="7"/>
        <v>4.436239986240961</v>
      </c>
      <c r="G104" s="157">
        <f t="shared" si="8"/>
        <v>5.914986648321282</v>
      </c>
      <c r="H104" s="94">
        <v>7.393733310401602</v>
      </c>
      <c r="J104" s="157">
        <v>2.4708004666756107</v>
      </c>
    </row>
    <row r="105" spans="1:10" ht="12.75">
      <c r="A105" s="45" t="s">
        <v>75</v>
      </c>
      <c r="B105" s="60"/>
      <c r="C105" s="92">
        <v>0.03165790309778415</v>
      </c>
      <c r="D105" s="93"/>
      <c r="E105" s="93"/>
      <c r="F105" s="93"/>
      <c r="G105" s="157"/>
      <c r="H105" s="94"/>
      <c r="J105" s="157"/>
    </row>
    <row r="106" spans="1:10" ht="12.75">
      <c r="A106" s="45" t="s">
        <v>76</v>
      </c>
      <c r="B106" s="60" t="s">
        <v>291</v>
      </c>
      <c r="C106" s="92">
        <v>0.013276028001322897</v>
      </c>
      <c r="D106" s="93"/>
      <c r="E106" s="93"/>
      <c r="F106" s="99">
        <f>$H106/3</f>
        <v>0.9837585412255286</v>
      </c>
      <c r="G106" s="158">
        <f>$H106/3*2</f>
        <v>1.9675170824510573</v>
      </c>
      <c r="H106" s="94">
        <v>2.951275623676586</v>
      </c>
      <c r="J106" s="157">
        <v>3.1438438174917214</v>
      </c>
    </row>
    <row r="107" spans="1:10" ht="12.75">
      <c r="A107" s="45" t="s">
        <v>77</v>
      </c>
      <c r="B107" s="92" t="s">
        <v>291</v>
      </c>
      <c r="C107" s="92">
        <v>0.01413787509646125</v>
      </c>
      <c r="D107" s="93"/>
      <c r="E107" s="93"/>
      <c r="F107" s="99">
        <f>$H107/3</f>
        <v>0.5436120206385442</v>
      </c>
      <c r="G107" s="158">
        <f>$H107/3*2</f>
        <v>1.0872240412770884</v>
      </c>
      <c r="H107" s="94">
        <v>1.6308360619156326</v>
      </c>
      <c r="J107" s="157">
        <v>0.9037048710698099</v>
      </c>
    </row>
    <row r="108" spans="1:10" ht="12.75">
      <c r="A108" s="45" t="s">
        <v>266</v>
      </c>
      <c r="B108" s="101" t="s">
        <v>292</v>
      </c>
      <c r="C108" s="96">
        <v>0.004244</v>
      </c>
      <c r="D108" s="93"/>
      <c r="E108" s="93"/>
      <c r="F108" s="99">
        <f>$H108/3</f>
        <v>0.036665558548528585</v>
      </c>
      <c r="G108" s="158">
        <f>$H108/3*2</f>
        <v>0.07333111709705717</v>
      </c>
      <c r="H108" s="97">
        <v>0.10999667564558575</v>
      </c>
      <c r="J108" s="171">
        <v>0.10524818049148003</v>
      </c>
    </row>
    <row r="109" spans="1:10" ht="12.75">
      <c r="A109" s="45" t="s">
        <v>78</v>
      </c>
      <c r="B109" s="92"/>
      <c r="C109" s="96">
        <v>0.040523</v>
      </c>
      <c r="D109" s="93"/>
      <c r="E109" s="93"/>
      <c r="F109" s="93"/>
      <c r="G109" s="157"/>
      <c r="H109" s="97"/>
      <c r="J109" s="173"/>
    </row>
    <row r="110" spans="1:10" ht="12.75">
      <c r="A110" s="45" t="s">
        <v>79</v>
      </c>
      <c r="B110" s="45" t="s">
        <v>149</v>
      </c>
      <c r="C110" s="96">
        <v>0.040523</v>
      </c>
      <c r="D110" s="93">
        <f t="shared" si="5"/>
        <v>29.064</v>
      </c>
      <c r="E110" s="93">
        <f t="shared" si="6"/>
        <v>58.128</v>
      </c>
      <c r="F110" s="93">
        <f t="shared" si="7"/>
        <v>87.19200000000001</v>
      </c>
      <c r="G110" s="157">
        <f t="shared" si="8"/>
        <v>116.256</v>
      </c>
      <c r="H110" s="97">
        <v>145.32</v>
      </c>
      <c r="J110" s="171">
        <v>122.36153463939469</v>
      </c>
    </row>
    <row r="111" spans="1:10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</row>
    <row r="112" ht="12.75">
      <c r="H112" s="13"/>
    </row>
  </sheetData>
  <sheetProtection/>
  <printOptions horizontalCentered="1"/>
  <pageMargins left="0.75" right="0.75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H182"/>
  <sheetViews>
    <sheetView zoomScalePageLayoutView="0" workbookViewId="0" topLeftCell="A4">
      <pane xSplit="2" ySplit="4" topLeftCell="AY10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29.421875" style="0" customWidth="1"/>
    <col min="2" max="2" width="10.421875" style="0" hidden="1" customWidth="1"/>
    <col min="4" max="4" width="9.00390625" style="0" customWidth="1"/>
    <col min="6" max="7" width="11.421875" style="0" hidden="1" customWidth="1"/>
    <col min="8" max="8" width="15.7109375" style="0" hidden="1" customWidth="1"/>
    <col min="9" max="9" width="0" style="0" hidden="1" customWidth="1"/>
    <col min="10" max="10" width="11.421875" style="0" hidden="1" customWidth="1"/>
    <col min="11" max="11" width="13.421875" style="0" hidden="1" customWidth="1"/>
    <col min="12" max="15" width="13.421875" style="0" customWidth="1"/>
    <col min="20" max="20" width="11.421875" style="15" customWidth="1"/>
    <col min="23" max="27" width="11.421875" style="15" customWidth="1"/>
    <col min="28" max="28" width="14.140625" style="15" customWidth="1"/>
    <col min="53" max="53" width="4.57421875" style="0" customWidth="1"/>
    <col min="56" max="56" width="14.00390625" style="0" customWidth="1"/>
  </cols>
  <sheetData>
    <row r="3" spans="1:8" ht="12.75">
      <c r="A3" s="1" t="s">
        <v>80</v>
      </c>
      <c r="B3" s="2" t="s">
        <v>81</v>
      </c>
      <c r="C3" s="2" t="s">
        <v>82</v>
      </c>
      <c r="D3" s="2" t="s">
        <v>83</v>
      </c>
      <c r="E3" s="2"/>
      <c r="F3" s="1" t="s">
        <v>84</v>
      </c>
      <c r="G3" s="3"/>
      <c r="H3" s="1" t="s">
        <v>85</v>
      </c>
    </row>
    <row r="4" spans="1:8" ht="12.75">
      <c r="A4" s="1" t="s">
        <v>86</v>
      </c>
      <c r="B4" s="2" t="s">
        <v>87</v>
      </c>
      <c r="C4" s="3"/>
      <c r="D4" s="2" t="s">
        <v>88</v>
      </c>
      <c r="E4" s="2"/>
      <c r="F4" s="1" t="s">
        <v>0</v>
      </c>
      <c r="G4" s="3"/>
      <c r="H4" s="1" t="s">
        <v>0</v>
      </c>
    </row>
    <row r="5" spans="1:10" ht="12.75">
      <c r="A5" s="1" t="s">
        <v>89</v>
      </c>
      <c r="B5" s="2" t="s">
        <v>0</v>
      </c>
      <c r="C5" s="2" t="s">
        <v>0</v>
      </c>
      <c r="D5" s="2" t="s">
        <v>90</v>
      </c>
      <c r="E5" s="125"/>
      <c r="F5" s="2" t="s">
        <v>91</v>
      </c>
      <c r="G5" s="2" t="s">
        <v>92</v>
      </c>
      <c r="H5" s="2" t="s">
        <v>91</v>
      </c>
      <c r="J5" t="s">
        <v>93</v>
      </c>
    </row>
    <row r="6" spans="1:60" ht="12.75">
      <c r="A6" s="103" t="s">
        <v>294</v>
      </c>
      <c r="B6" s="104"/>
      <c r="C6" s="104" t="s">
        <v>94</v>
      </c>
      <c r="D6" s="104" t="s">
        <v>95</v>
      </c>
      <c r="E6" s="126" t="s">
        <v>295</v>
      </c>
      <c r="F6" s="105"/>
      <c r="G6" s="106" t="s">
        <v>96</v>
      </c>
      <c r="H6" s="105" t="s">
        <v>97</v>
      </c>
      <c r="I6" s="107">
        <v>36678</v>
      </c>
      <c r="J6" s="104" t="s">
        <v>98</v>
      </c>
      <c r="K6" s="104" t="s">
        <v>99</v>
      </c>
      <c r="L6" s="126" t="s">
        <v>296</v>
      </c>
      <c r="M6" s="126" t="s">
        <v>297</v>
      </c>
      <c r="N6" s="126" t="s">
        <v>298</v>
      </c>
      <c r="O6" s="126" t="s">
        <v>299</v>
      </c>
      <c r="P6" s="104" t="s">
        <v>100</v>
      </c>
      <c r="Q6" s="104" t="s">
        <v>101</v>
      </c>
      <c r="R6" s="104" t="s">
        <v>102</v>
      </c>
      <c r="S6" s="104" t="s">
        <v>103</v>
      </c>
      <c r="T6" s="108" t="s">
        <v>104</v>
      </c>
      <c r="U6" s="104" t="s">
        <v>105</v>
      </c>
      <c r="V6" s="104" t="s">
        <v>106</v>
      </c>
      <c r="W6" s="108" t="s">
        <v>107</v>
      </c>
      <c r="X6" s="108" t="s">
        <v>108</v>
      </c>
      <c r="Y6" s="108" t="s">
        <v>109</v>
      </c>
      <c r="Z6" s="108" t="s">
        <v>110</v>
      </c>
      <c r="AA6" s="104" t="s">
        <v>111</v>
      </c>
      <c r="AB6" s="108"/>
      <c r="AC6" s="104" t="s">
        <v>112</v>
      </c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 t="s">
        <v>113</v>
      </c>
      <c r="AY6" s="104" t="s">
        <v>114</v>
      </c>
      <c r="AZ6" s="104" t="s">
        <v>115</v>
      </c>
      <c r="BA6" s="104"/>
      <c r="BB6" s="109" t="s">
        <v>113</v>
      </c>
      <c r="BC6" s="109" t="s">
        <v>116</v>
      </c>
      <c r="BD6" s="110" t="s">
        <v>117</v>
      </c>
      <c r="BE6" s="17"/>
      <c r="BF6" s="17"/>
      <c r="BG6" s="17"/>
      <c r="BH6" s="17"/>
    </row>
    <row r="7" spans="1:56" ht="12.75">
      <c r="A7" s="111" t="s">
        <v>118</v>
      </c>
      <c r="B7" s="112"/>
      <c r="C7" s="113">
        <v>1</v>
      </c>
      <c r="D7" s="114" t="s">
        <v>293</v>
      </c>
      <c r="E7" s="127"/>
      <c r="F7" s="115">
        <f>(F9+F61+F74+F92)</f>
        <v>8920.938825598163</v>
      </c>
      <c r="G7" s="115"/>
      <c r="H7" s="116">
        <f>(H9+H61+H74+H92)</f>
        <v>210.5397205467476</v>
      </c>
      <c r="I7" s="117"/>
      <c r="J7" s="118">
        <f>H7-K7</f>
        <v>94.24401094674758</v>
      </c>
      <c r="K7" s="119">
        <v>116.29570960000001</v>
      </c>
      <c r="L7" s="131"/>
      <c r="M7" s="131"/>
      <c r="N7" s="131"/>
      <c r="O7" s="131"/>
      <c r="P7" s="113">
        <f>SUM(P11:P113)</f>
        <v>0.7386188838055341</v>
      </c>
      <c r="Q7" s="113">
        <f>SUM(Q11:Q113)</f>
        <v>1.0000000000000004</v>
      </c>
      <c r="R7" s="115">
        <f>SUM(R11:R113)</f>
        <v>11202.21128531325</v>
      </c>
      <c r="S7" s="120">
        <f>SUM(S11:S113)</f>
        <v>0.9999999999999998</v>
      </c>
      <c r="T7" s="121">
        <f>H7-K7</f>
        <v>94.24401094674758</v>
      </c>
      <c r="U7" s="117"/>
      <c r="V7" s="117"/>
      <c r="W7" s="121"/>
      <c r="X7" s="121"/>
      <c r="Y7" s="115">
        <f>SUM(Y11:Y113)</f>
        <v>12.021313575841843</v>
      </c>
      <c r="Z7" s="115">
        <f>SUM(Z11:Z113)</f>
        <v>27.266111377891388</v>
      </c>
      <c r="AA7" s="121">
        <f>T7-Y7</f>
        <v>82.22269737090573</v>
      </c>
      <c r="AB7" s="115"/>
      <c r="AC7" s="117"/>
      <c r="AD7" s="115">
        <f>SUM(AD11:AD113)</f>
        <v>41.70100183361686</v>
      </c>
      <c r="AE7" s="115">
        <f>SUM(AE11:AE113)</f>
        <v>29.863841312590633</v>
      </c>
      <c r="AF7" s="122">
        <f>$T7-AD7</f>
        <v>52.54300911313072</v>
      </c>
      <c r="AG7" s="117"/>
      <c r="AH7" s="117"/>
      <c r="AI7" s="115">
        <f>SUM(AI11:AI113)</f>
        <v>56.03712987563365</v>
      </c>
      <c r="AJ7" s="115">
        <f>SUM(AJ11:AJ113)</f>
        <v>33.806346790677495</v>
      </c>
      <c r="AK7" s="122">
        <f>$T7-AI7</f>
        <v>38.206881071113926</v>
      </c>
      <c r="AL7" s="117"/>
      <c r="AM7" s="117"/>
      <c r="AN7" s="115">
        <f>SUM(AN11:AN113)</f>
        <v>62.39635133707053</v>
      </c>
      <c r="AO7" s="115">
        <f>SUM(AO11:AO113)</f>
        <v>31.653075397290287</v>
      </c>
      <c r="AP7" s="122">
        <f>$T7-AN7</f>
        <v>31.847659609677052</v>
      </c>
      <c r="AQ7" s="117"/>
      <c r="AR7" s="117"/>
      <c r="AS7" s="115">
        <f>SUM(AS11:AS113)</f>
        <v>62.39635133707053</v>
      </c>
      <c r="AT7" s="115">
        <f>SUM(AT11:AT113)</f>
        <v>31.847659609677063</v>
      </c>
      <c r="AU7" s="122">
        <f>$T7-AS7</f>
        <v>31.847659609677052</v>
      </c>
      <c r="AV7" s="117"/>
      <c r="AW7" s="117"/>
      <c r="AX7" s="115">
        <f>SUM(AX11:AX113)</f>
        <v>62.39635133707053</v>
      </c>
      <c r="AY7" s="115">
        <f>SUM(AY11:AY113)</f>
        <v>31.847659609677052</v>
      </c>
      <c r="AZ7" s="122">
        <f>$T7-AX7</f>
        <v>31.847659609677052</v>
      </c>
      <c r="BA7" s="122"/>
      <c r="BB7" s="117">
        <f>SUM(BB11:BB113)</f>
        <v>62.39635133707053</v>
      </c>
      <c r="BC7" s="121">
        <f>SUM(BC11:BC113)</f>
        <v>31.847659609677052</v>
      </c>
      <c r="BD7" s="123">
        <f>H7-K7</f>
        <v>94.24401094674758</v>
      </c>
    </row>
    <row r="8" spans="1:57" ht="12.75">
      <c r="A8" s="4"/>
      <c r="B8" s="3"/>
      <c r="C8" s="3"/>
      <c r="D8" s="124">
        <f>SUM(D11:D113)</f>
        <v>336.38495478532826</v>
      </c>
      <c r="E8" s="130">
        <f>SUM(E11:E113)</f>
        <v>0.9999999999999991</v>
      </c>
      <c r="F8" s="3"/>
      <c r="G8" s="3"/>
      <c r="H8" s="6"/>
      <c r="L8" s="130">
        <f>SUM(L11:L113)</f>
        <v>0.6419057022530499</v>
      </c>
      <c r="M8" s="130">
        <f>SUM(M11:M113)</f>
        <v>1.0000000000000002</v>
      </c>
      <c r="N8" s="146">
        <f>SUM(N11:N113)</f>
        <v>28250.370432445954</v>
      </c>
      <c r="O8" s="130">
        <f>SUM(O11:O113)</f>
        <v>1.0000000000000004</v>
      </c>
      <c r="BD8" s="15">
        <f>SUM(BD9+BD61+BD74+BD92)</f>
        <v>94.24401094674758</v>
      </c>
      <c r="BE8" t="s">
        <v>0</v>
      </c>
    </row>
    <row r="9" spans="1:57" ht="12.75">
      <c r="A9" s="1" t="s">
        <v>1</v>
      </c>
      <c r="B9" s="3"/>
      <c r="C9" s="4">
        <v>0.4582805578767501</v>
      </c>
      <c r="D9" s="3"/>
      <c r="E9" s="128"/>
      <c r="F9" s="5">
        <f>(F10+F14+F18+F21+F24+F28+F36+F39+F43+F50+F53+F56+F58)</f>
        <v>3944.3065358108342</v>
      </c>
      <c r="G9" s="5"/>
      <c r="H9" s="6">
        <f>(H10+H14+H18+H21+H24+H28+H36+H39+H43+H50+H53+H56+H58)</f>
        <v>89.18302571162623</v>
      </c>
      <c r="L9" s="132"/>
      <c r="M9" s="132"/>
      <c r="N9" s="147"/>
      <c r="O9" s="132"/>
      <c r="BD9" s="15">
        <f>SUM(BD10+BD14+BD18+BD21+BD24+BD28+BD36+BD39+BD43+BD50+BD53+BD56+BD58)</f>
        <v>51.34334676949297</v>
      </c>
      <c r="BE9" t="s">
        <v>0</v>
      </c>
    </row>
    <row r="10" spans="1:57" ht="12.75">
      <c r="A10" s="1" t="s">
        <v>2</v>
      </c>
      <c r="B10" s="3"/>
      <c r="C10" s="4">
        <v>0.08419629092713042</v>
      </c>
      <c r="D10" s="3"/>
      <c r="E10" s="128"/>
      <c r="F10" s="5">
        <f>SUM(F11:F13)</f>
        <v>724.6565953296616</v>
      </c>
      <c r="G10" s="7"/>
      <c r="H10" s="6">
        <f>SUM(H11:H13)</f>
        <v>18.42706718979885</v>
      </c>
      <c r="J10" t="s">
        <v>0</v>
      </c>
      <c r="L10" s="132"/>
      <c r="M10" s="132"/>
      <c r="N10" s="147"/>
      <c r="O10" s="132"/>
      <c r="P10" s="4"/>
      <c r="AG10" t="s">
        <v>0</v>
      </c>
      <c r="BD10" s="15">
        <f>SUM(BB11:BC13)</f>
        <v>4.73834827159682</v>
      </c>
      <c r="BE10" t="s">
        <v>0</v>
      </c>
    </row>
    <row r="11" spans="1:56" ht="12.75">
      <c r="A11" s="1" t="s">
        <v>3</v>
      </c>
      <c r="B11" s="1" t="s">
        <v>119</v>
      </c>
      <c r="C11" s="4">
        <v>0.04059439146731342</v>
      </c>
      <c r="D11" s="5">
        <v>19.969700075450806</v>
      </c>
      <c r="E11" s="129">
        <f>D11/$D$8</f>
        <v>0.05936561606387814</v>
      </c>
      <c r="F11" s="5">
        <f>G11*$D11</f>
        <v>349.3858599500827</v>
      </c>
      <c r="G11" s="5">
        <v>17.495799067087166</v>
      </c>
      <c r="H11" s="6">
        <f>I11*$D11</f>
        <v>9.839071227174612</v>
      </c>
      <c r="I11" s="78">
        <v>0.4927</v>
      </c>
      <c r="J11" s="78">
        <v>0.4927</v>
      </c>
      <c r="K11" s="13">
        <f>J11-I11</f>
        <v>0</v>
      </c>
      <c r="L11" s="133">
        <v>0.05936561606387814</v>
      </c>
      <c r="M11" s="133">
        <f>L11/$L$8</f>
        <v>0.09248339102691945</v>
      </c>
      <c r="N11" s="147">
        <f>1/M11</f>
        <v>10.812752310400542</v>
      </c>
      <c r="O11" s="133">
        <f>N11/$N$8</f>
        <v>0.00038274727534127985</v>
      </c>
      <c r="P11" s="4">
        <v>0.04059439146731342</v>
      </c>
      <c r="Q11" s="14">
        <f>P11/$P$7</f>
        <v>0.054959861380962524</v>
      </c>
      <c r="R11" s="15">
        <f>1/Q11</f>
        <v>18.19509683746016</v>
      </c>
      <c r="S11" s="14">
        <f>R11/$R$7</f>
        <v>0.0016242415335724822</v>
      </c>
      <c r="T11" s="15">
        <f>S11*$T$7</f>
        <v>0.1530750368701671</v>
      </c>
      <c r="U11" s="15">
        <f aca="true" t="shared" si="0" ref="U11:U27">T11/J11</f>
        <v>0.310686090664029</v>
      </c>
      <c r="V11" s="5">
        <v>24.962125094313507</v>
      </c>
      <c r="W11" s="15">
        <f>IF(U11&lt;V11,U11*I11,0)</f>
        <v>0.1530750368701671</v>
      </c>
      <c r="X11" s="15">
        <f>IF(U11&lt;V11,U1:U11,0)</f>
        <v>0.310686090664029</v>
      </c>
      <c r="Y11" s="15">
        <f>IF(X11=0,V11*J11,0)</f>
        <v>0</v>
      </c>
      <c r="Z11" s="15">
        <f>IF(X11=0,0,X11*$J11)</f>
        <v>0.1530750368701671</v>
      </c>
      <c r="AA11" s="15">
        <f aca="true" t="shared" si="1" ref="AA11:AA74">$AA$7/$Z$7*Z11</f>
        <v>0.46160753387890463</v>
      </c>
      <c r="AB11" s="16">
        <f>IF(J11=0,0,AA11/J11)</f>
        <v>0.9368937160115782</v>
      </c>
      <c r="AC11">
        <f>IF(AB11&lt;V11,AB11,0)</f>
        <v>0.9368937160115782</v>
      </c>
      <c r="AD11">
        <f>IF(AC11=0,$V11*$J11,0)</f>
        <v>0</v>
      </c>
      <c r="AE11">
        <f>IF(AC11=0,0,$J11*AC11)</f>
        <v>0.46160753387890463</v>
      </c>
      <c r="AF11">
        <f>$AF$7/$AE$7*AE11</f>
        <v>0.8121610547489571</v>
      </c>
      <c r="AG11">
        <f>IF($J11=0,0,AF11/$J11)</f>
        <v>1.6483885828068947</v>
      </c>
      <c r="AH11">
        <f>IF(AG11&lt;$V11,AG11,0)</f>
        <v>1.6483885828068947</v>
      </c>
      <c r="AI11">
        <f>IF(AH11=0,$V11*$J11,0)</f>
        <v>0</v>
      </c>
      <c r="AJ11" s="15">
        <f>IF(AH11=0,0,AH11*$J11)</f>
        <v>0.8121610547489571</v>
      </c>
      <c r="AK11">
        <f>$AK$7/$AJ$7*AJ11</f>
        <v>0.9178791491880686</v>
      </c>
      <c r="AL11">
        <f>IF($J11=0,0,AK11/$J11)</f>
        <v>1.8629574775483428</v>
      </c>
      <c r="AM11">
        <f>IF(AL11&lt;$V11,AL11,0)</f>
        <v>1.8629574775483428</v>
      </c>
      <c r="AN11">
        <f>IF(AM11=0,$V11*$J11,0)</f>
        <v>0</v>
      </c>
      <c r="AO11" s="15">
        <f>IF(AM11=0,0,AM11*$J11)</f>
        <v>0.9178791491880686</v>
      </c>
      <c r="AP11">
        <f>$AP$7/$AO$7*AO11</f>
        <v>0.9235217222735983</v>
      </c>
      <c r="AQ11">
        <f>IF($J11=0,0,AP11/$J11)</f>
        <v>1.8744098280365298</v>
      </c>
      <c r="AR11">
        <f>IF(AQ11&lt;$V11,AQ11,0)</f>
        <v>1.8744098280365298</v>
      </c>
      <c r="AS11">
        <f>IF(AR11=0,$V11*$J11,0)</f>
        <v>0</v>
      </c>
      <c r="AT11" s="15">
        <f>IF(AR11=0,0,AR11*$J11)</f>
        <v>0.9235217222735983</v>
      </c>
      <c r="AU11">
        <f>$AU$7/$AT$7*AT11</f>
        <v>0.923521722273598</v>
      </c>
      <c r="AV11">
        <f>IF($J11=0,0,AU11/$J11)</f>
        <v>1.8744098280365291</v>
      </c>
      <c r="AW11">
        <f>IF(AV11&lt;$V11,AV11,0)</f>
        <v>1.8744098280365291</v>
      </c>
      <c r="AX11">
        <f>IF(AW11=0,$V11*$J11,0)</f>
        <v>0</v>
      </c>
      <c r="AY11" s="15">
        <f>IF(AW11=0,0,AW11*$J11)</f>
        <v>0.923521722273598</v>
      </c>
      <c r="AZ11">
        <f>$AZ$7/$AY$7*AY11</f>
        <v>0.923521722273598</v>
      </c>
      <c r="BB11">
        <f aca="true" t="shared" si="2" ref="BB11:BB74">AX11</f>
        <v>0</v>
      </c>
      <c r="BC11" s="15">
        <f aca="true" t="shared" si="3" ref="BC11:BC74">AZ11</f>
        <v>0.923521722273598</v>
      </c>
      <c r="BD11" s="15"/>
    </row>
    <row r="12" spans="1:56" ht="12.75">
      <c r="A12" s="1" t="s">
        <v>4</v>
      </c>
      <c r="B12" s="1" t="s">
        <v>119</v>
      </c>
      <c r="C12" s="4">
        <v>0.010260558372836513</v>
      </c>
      <c r="D12" s="5">
        <v>3.1977760029764464</v>
      </c>
      <c r="E12" s="129">
        <f aca="true" t="shared" si="4" ref="E12:E73">D12/$D$8</f>
        <v>0.009506299129867982</v>
      </c>
      <c r="F12" s="5">
        <f>G12*$D12</f>
        <v>88.3100812965274</v>
      </c>
      <c r="G12" s="5">
        <v>27.616093564505324</v>
      </c>
      <c r="H12" s="6">
        <f>I12*$D12</f>
        <v>2.152322082356553</v>
      </c>
      <c r="I12" s="78">
        <v>0.6730684326710816</v>
      </c>
      <c r="J12" s="78">
        <v>0.6730684326710816</v>
      </c>
      <c r="K12" s="13">
        <f aca="true" t="shared" si="5" ref="K12:K59">J12-I12</f>
        <v>0</v>
      </c>
      <c r="L12" s="133">
        <v>0.009506299129867982</v>
      </c>
      <c r="M12" s="133">
        <f aca="true" t="shared" si="6" ref="M12:M73">L12/$L$8</f>
        <v>0.014809494753670908</v>
      </c>
      <c r="N12" s="147">
        <f aca="true" t="shared" si="7" ref="N12:N73">1/M12</f>
        <v>67.52424823622863</v>
      </c>
      <c r="O12" s="133">
        <f aca="true" t="shared" si="8" ref="O12:O73">N12/$N$8</f>
        <v>0.0023902075336568354</v>
      </c>
      <c r="P12" s="4">
        <v>0.010260558372836513</v>
      </c>
      <c r="Q12" s="14">
        <f>P12/$P$7</f>
        <v>0.013891546232844413</v>
      </c>
      <c r="R12" s="15">
        <f aca="true" t="shared" si="9" ref="R12:R27">1/Q12</f>
        <v>71.9862269641125</v>
      </c>
      <c r="S12" s="14">
        <f aca="true" t="shared" si="10" ref="S12:S27">R12/$R$7</f>
        <v>0.006426072953872119</v>
      </c>
      <c r="T12" s="15">
        <f aca="true" t="shared" si="11" ref="T12:T27">S12*$T$7</f>
        <v>0.6056188898093225</v>
      </c>
      <c r="U12" s="15">
        <f t="shared" si="0"/>
        <v>0.899787986499256</v>
      </c>
      <c r="V12" s="5">
        <v>3.997220003720558</v>
      </c>
      <c r="W12" s="15">
        <f aca="true" t="shared" si="12" ref="W12:W27">IF(U12&lt;V12,U12*I12,0)</f>
        <v>0.6056188898093225</v>
      </c>
      <c r="X12" s="15">
        <f>IF(U12&lt;V12,U2:U12,0)</f>
        <v>0.899787986499256</v>
      </c>
      <c r="Y12" s="15">
        <f aca="true" t="shared" si="13" ref="Y12:Y75">IF(X12=0,V12*J12,0)</f>
        <v>0</v>
      </c>
      <c r="Z12" s="15">
        <f aca="true" t="shared" si="14" ref="Z12:Z75">IF(X12=0,0,X12*J12)</f>
        <v>0.6056188898093225</v>
      </c>
      <c r="AA12" s="15">
        <f t="shared" si="1"/>
        <v>1.8262823770049</v>
      </c>
      <c r="AB12" s="16">
        <f aca="true" t="shared" si="15" ref="AB12:AB75">IF(J12=0,0,AA12/J12)</f>
        <v>2.713368044549753</v>
      </c>
      <c r="AC12">
        <f aca="true" t="shared" si="16" ref="AC12:AC75">IF(AB12&lt;V12,AB12,0)</f>
        <v>2.713368044549753</v>
      </c>
      <c r="AD12">
        <f aca="true" t="shared" si="17" ref="AD12:AD75">IF(AC12=0,V12*J12,0)</f>
        <v>0</v>
      </c>
      <c r="AE12">
        <f aca="true" t="shared" si="18" ref="AE12:AE75">IF(AC12=0,0,J12*AC12)</f>
        <v>1.8262823770049</v>
      </c>
      <c r="AF12">
        <f aca="true" t="shared" si="19" ref="AF12:AF75">$AF$7/$AE$7*AE12</f>
        <v>3.2131958703404417</v>
      </c>
      <c r="AG12">
        <f aca="true" t="shared" si="20" ref="AG12:AG75">IF(J12=0,0,AF12/J12)</f>
        <v>4.773951227498262</v>
      </c>
      <c r="AH12">
        <f aca="true" t="shared" si="21" ref="AH12:AH75">IF(AG12&lt;V12,AG12,0)</f>
        <v>0</v>
      </c>
      <c r="AI12">
        <f aca="true" t="shared" si="22" ref="AI12:AI75">IF(AH12=0,$V12*$J12,0)</f>
        <v>2.690402602945691</v>
      </c>
      <c r="AJ12" s="15">
        <f aca="true" t="shared" si="23" ref="AJ12:AJ75">IF(AH12=0,0,AH12*$J12)</f>
        <v>0</v>
      </c>
      <c r="AK12">
        <f aca="true" t="shared" si="24" ref="AK12:AK75">$AK$7/$AJ$7*AJ12</f>
        <v>0</v>
      </c>
      <c r="AL12">
        <f aca="true" t="shared" si="25" ref="AL12:AL75">IF($J12=0,0,AK12/$J12)</f>
        <v>0</v>
      </c>
      <c r="AM12">
        <f aca="true" t="shared" si="26" ref="AM12:AM75">IF(AL12&lt;$V12,AL12,0)</f>
        <v>0</v>
      </c>
      <c r="AN12">
        <f aca="true" t="shared" si="27" ref="AN12:AN75">IF(AM12=0,$V12*$J12,0)</f>
        <v>2.690402602945691</v>
      </c>
      <c r="AO12" s="15">
        <f aca="true" t="shared" si="28" ref="AO12:AO75">IF(AM12=0,0,AM12*$J12)</f>
        <v>0</v>
      </c>
      <c r="AP12">
        <f aca="true" t="shared" si="29" ref="AP12:AP75">$AP$7/$AO$7*AO12</f>
        <v>0</v>
      </c>
      <c r="AQ12">
        <f aca="true" t="shared" si="30" ref="AQ12:AQ75">IF($J12=0,0,AP12/$J12)</f>
        <v>0</v>
      </c>
      <c r="AR12">
        <f aca="true" t="shared" si="31" ref="AR12:AR75">IF(AQ12&lt;$V12,AQ12,0)</f>
        <v>0</v>
      </c>
      <c r="AS12">
        <f aca="true" t="shared" si="32" ref="AS12:AS75">IF(AR12=0,$V12*$J12,0)</f>
        <v>2.690402602945691</v>
      </c>
      <c r="AT12" s="15">
        <f aca="true" t="shared" si="33" ref="AT12:AT75">IF(AR12=0,0,AR12*$J12)</f>
        <v>0</v>
      </c>
      <c r="AU12">
        <f aca="true" t="shared" si="34" ref="AU12:AU75">$AU$7/$AT$7*AT12</f>
        <v>0</v>
      </c>
      <c r="AV12">
        <f aca="true" t="shared" si="35" ref="AV12:AV75">IF($J12=0,0,AU12/$J12)</f>
        <v>0</v>
      </c>
      <c r="AW12">
        <f aca="true" t="shared" si="36" ref="AW12:AW75">IF(AV12&lt;$V12,AV12,0)</f>
        <v>0</v>
      </c>
      <c r="AX12">
        <f aca="true" t="shared" si="37" ref="AX12:AX75">IF(AW12=0,$V12*$J12,0)</f>
        <v>2.690402602945691</v>
      </c>
      <c r="AY12" s="15">
        <f aca="true" t="shared" si="38" ref="AY12:AY75">IF(AW12=0,0,AW12*$J12)</f>
        <v>0</v>
      </c>
      <c r="AZ12">
        <f aca="true" t="shared" si="39" ref="AZ12:AZ75">$AZ$7/$AY$7*AY12</f>
        <v>0</v>
      </c>
      <c r="BB12">
        <f t="shared" si="2"/>
        <v>2.690402602945691</v>
      </c>
      <c r="BC12" s="15">
        <f t="shared" si="3"/>
        <v>0</v>
      </c>
      <c r="BD12" s="15"/>
    </row>
    <row r="13" spans="1:56" ht="12.75">
      <c r="A13" s="1" t="s">
        <v>5</v>
      </c>
      <c r="B13" s="1" t="s">
        <v>119</v>
      </c>
      <c r="C13" s="4">
        <v>0.03334134108698049</v>
      </c>
      <c r="D13" s="5">
        <v>7.428063112035649</v>
      </c>
      <c r="E13" s="129">
        <f t="shared" si="4"/>
        <v>0.022082031334534676</v>
      </c>
      <c r="F13" s="135">
        <f>G13*$D13</f>
        <v>286.9606540830515</v>
      </c>
      <c r="G13" s="135">
        <v>38.63196229688609</v>
      </c>
      <c r="H13" s="136">
        <f>I13*$D13</f>
        <v>6.435673880267686</v>
      </c>
      <c r="I13" s="137">
        <v>0.8664</v>
      </c>
      <c r="J13" s="137">
        <v>0.8664</v>
      </c>
      <c r="K13" s="138">
        <f t="shared" si="5"/>
        <v>0</v>
      </c>
      <c r="L13" s="133">
        <v>0.022082031334534676</v>
      </c>
      <c r="M13" s="133">
        <f t="shared" si="6"/>
        <v>0.034400740259866974</v>
      </c>
      <c r="N13" s="147">
        <f t="shared" si="7"/>
        <v>29.069141897700167</v>
      </c>
      <c r="O13" s="133">
        <f t="shared" si="8"/>
        <v>0.0010289826806771298</v>
      </c>
      <c r="P13" s="4">
        <v>0.03334134108698049</v>
      </c>
      <c r="Q13" s="14">
        <f>P13/$P$7</f>
        <v>0.045140114635572604</v>
      </c>
      <c r="R13" s="15">
        <f t="shared" si="9"/>
        <v>22.153244582412988</v>
      </c>
      <c r="S13" s="14">
        <f t="shared" si="10"/>
        <v>0.0019775778208590993</v>
      </c>
      <c r="T13" s="15">
        <f t="shared" si="11"/>
        <v>0.18637486579709017</v>
      </c>
      <c r="U13" s="15">
        <f t="shared" si="0"/>
        <v>0.21511411103080585</v>
      </c>
      <c r="V13" s="5">
        <v>9.285078890044561</v>
      </c>
      <c r="W13" s="15">
        <f t="shared" si="12"/>
        <v>0.18637486579709017</v>
      </c>
      <c r="X13" s="15">
        <f>IF(U13&lt;V13,U3:U13,0)</f>
        <v>0.21511411103080585</v>
      </c>
      <c r="Y13" s="15">
        <f t="shared" si="13"/>
        <v>0</v>
      </c>
      <c r="Z13" s="15">
        <f t="shared" si="14"/>
        <v>0.18637486579709017</v>
      </c>
      <c r="AA13" s="15">
        <f t="shared" si="1"/>
        <v>0.5620252912339716</v>
      </c>
      <c r="AB13" s="16">
        <f t="shared" si="15"/>
        <v>0.6486903176754059</v>
      </c>
      <c r="AC13">
        <f t="shared" si="16"/>
        <v>0.6486903176754059</v>
      </c>
      <c r="AD13">
        <f t="shared" si="17"/>
        <v>0</v>
      </c>
      <c r="AE13">
        <f t="shared" si="18"/>
        <v>0.5620252912339716</v>
      </c>
      <c r="AF13">
        <f t="shared" si="19"/>
        <v>0.9888379626055146</v>
      </c>
      <c r="AG13">
        <f t="shared" si="20"/>
        <v>1.1413180547155064</v>
      </c>
      <c r="AH13">
        <f t="shared" si="21"/>
        <v>1.1413180547155064</v>
      </c>
      <c r="AI13">
        <f t="shared" si="22"/>
        <v>0</v>
      </c>
      <c r="AJ13" s="15">
        <f t="shared" si="23"/>
        <v>0.9888379626055147</v>
      </c>
      <c r="AK13">
        <f t="shared" si="24"/>
        <v>1.117553892167074</v>
      </c>
      <c r="AL13">
        <f t="shared" si="25"/>
        <v>1.2898821470072415</v>
      </c>
      <c r="AM13">
        <f t="shared" si="26"/>
        <v>1.2898821470072415</v>
      </c>
      <c r="AN13">
        <f t="shared" si="27"/>
        <v>0</v>
      </c>
      <c r="AO13" s="15">
        <f t="shared" si="28"/>
        <v>1.117553892167074</v>
      </c>
      <c r="AP13">
        <f t="shared" si="29"/>
        <v>1.1244239463775318</v>
      </c>
      <c r="AQ13">
        <f t="shared" si="30"/>
        <v>1.2978115724579085</v>
      </c>
      <c r="AR13">
        <f t="shared" si="31"/>
        <v>1.2978115724579085</v>
      </c>
      <c r="AS13">
        <f t="shared" si="32"/>
        <v>0</v>
      </c>
      <c r="AT13" s="15">
        <f t="shared" si="33"/>
        <v>1.1244239463775318</v>
      </c>
      <c r="AU13">
        <f t="shared" si="34"/>
        <v>1.1244239463775314</v>
      </c>
      <c r="AV13">
        <f t="shared" si="35"/>
        <v>1.297811572457908</v>
      </c>
      <c r="AW13">
        <f t="shared" si="36"/>
        <v>1.297811572457908</v>
      </c>
      <c r="AX13">
        <f t="shared" si="37"/>
        <v>0</v>
      </c>
      <c r="AY13" s="15">
        <f t="shared" si="38"/>
        <v>1.1244239463775314</v>
      </c>
      <c r="AZ13">
        <f t="shared" si="39"/>
        <v>1.1244239463775314</v>
      </c>
      <c r="BB13">
        <f t="shared" si="2"/>
        <v>0</v>
      </c>
      <c r="BC13" s="15">
        <f t="shared" si="3"/>
        <v>1.1244239463775314</v>
      </c>
      <c r="BD13" s="15"/>
    </row>
    <row r="14" spans="1:56" ht="12.75">
      <c r="A14" s="1" t="s">
        <v>6</v>
      </c>
      <c r="B14" s="3"/>
      <c r="C14" s="4">
        <v>0.08606229936059971</v>
      </c>
      <c r="D14" s="5"/>
      <c r="E14" s="129"/>
      <c r="F14" s="135">
        <f>SUM(F15:F17)</f>
        <v>740.7168671464403</v>
      </c>
      <c r="G14" s="128"/>
      <c r="H14" s="136">
        <f>SUM(H15:H17)</f>
        <v>15.004649267425076</v>
      </c>
      <c r="I14" s="137"/>
      <c r="J14" s="137"/>
      <c r="K14" s="138">
        <f t="shared" si="5"/>
        <v>0</v>
      </c>
      <c r="L14" s="133"/>
      <c r="M14" s="133"/>
      <c r="N14" s="147"/>
      <c r="O14" s="133"/>
      <c r="P14" s="4"/>
      <c r="Q14" s="14"/>
      <c r="R14" s="15"/>
      <c r="S14" s="14"/>
      <c r="U14" s="15"/>
      <c r="V14" s="5"/>
      <c r="Y14" s="15">
        <f t="shared" si="13"/>
        <v>0</v>
      </c>
      <c r="Z14" s="15">
        <f t="shared" si="14"/>
        <v>0</v>
      </c>
      <c r="AA14" s="15">
        <f t="shared" si="1"/>
        <v>0</v>
      </c>
      <c r="AB14" s="16">
        <f t="shared" si="15"/>
        <v>0</v>
      </c>
      <c r="AC14">
        <f t="shared" si="16"/>
        <v>0</v>
      </c>
      <c r="AD14">
        <f t="shared" si="17"/>
        <v>0</v>
      </c>
      <c r="AE14">
        <f t="shared" si="18"/>
        <v>0</v>
      </c>
      <c r="AF14">
        <f t="shared" si="19"/>
        <v>0</v>
      </c>
      <c r="AG14">
        <f t="shared" si="20"/>
        <v>0</v>
      </c>
      <c r="AH14">
        <f t="shared" si="21"/>
        <v>0</v>
      </c>
      <c r="AI14">
        <f t="shared" si="22"/>
        <v>0</v>
      </c>
      <c r="AJ14" s="15">
        <f t="shared" si="23"/>
        <v>0</v>
      </c>
      <c r="AK14">
        <f t="shared" si="24"/>
        <v>0</v>
      </c>
      <c r="AL14">
        <f t="shared" si="25"/>
        <v>0</v>
      </c>
      <c r="AM14">
        <f t="shared" si="26"/>
        <v>0</v>
      </c>
      <c r="AN14">
        <f t="shared" si="27"/>
        <v>0</v>
      </c>
      <c r="AO14" s="15">
        <f t="shared" si="28"/>
        <v>0</v>
      </c>
      <c r="AP14">
        <f t="shared" si="29"/>
        <v>0</v>
      </c>
      <c r="AQ14">
        <f t="shared" si="30"/>
        <v>0</v>
      </c>
      <c r="AR14">
        <f t="shared" si="31"/>
        <v>0</v>
      </c>
      <c r="AS14">
        <f t="shared" si="32"/>
        <v>0</v>
      </c>
      <c r="AT14" s="15">
        <f t="shared" si="33"/>
        <v>0</v>
      </c>
      <c r="AU14">
        <f t="shared" si="34"/>
        <v>0</v>
      </c>
      <c r="AV14">
        <f t="shared" si="35"/>
        <v>0</v>
      </c>
      <c r="AW14">
        <f t="shared" si="36"/>
        <v>0</v>
      </c>
      <c r="AX14">
        <f t="shared" si="37"/>
        <v>0</v>
      </c>
      <c r="AY14" s="15">
        <f t="shared" si="38"/>
        <v>0</v>
      </c>
      <c r="AZ14">
        <f t="shared" si="39"/>
        <v>0</v>
      </c>
      <c r="BB14">
        <f t="shared" si="2"/>
        <v>0</v>
      </c>
      <c r="BC14" s="15">
        <f t="shared" si="3"/>
        <v>0</v>
      </c>
      <c r="BD14" s="15">
        <f>SUM(BB15:BC17)</f>
        <v>5.040782047205285</v>
      </c>
    </row>
    <row r="15" spans="1:56" ht="12.75">
      <c r="A15" s="1" t="s">
        <v>7</v>
      </c>
      <c r="B15" s="1" t="s">
        <v>119</v>
      </c>
      <c r="C15" s="4">
        <v>0.025697175338992396</v>
      </c>
      <c r="D15" s="5">
        <v>2.7061530135122718</v>
      </c>
      <c r="E15" s="129">
        <f t="shared" si="4"/>
        <v>0.008044809897158644</v>
      </c>
      <c r="F15" s="135">
        <f>G15*$D15</f>
        <v>221.16921524322348</v>
      </c>
      <c r="G15" s="135">
        <v>81.72827409939084</v>
      </c>
      <c r="H15" s="136">
        <f>I15*$D15</f>
        <v>4.462175703980385</v>
      </c>
      <c r="I15" s="137">
        <v>1.6489</v>
      </c>
      <c r="J15" s="137">
        <v>1.6489</v>
      </c>
      <c r="K15" s="138">
        <f t="shared" si="5"/>
        <v>0</v>
      </c>
      <c r="L15" s="133">
        <v>0.008044809897158644</v>
      </c>
      <c r="M15" s="133">
        <f t="shared" si="6"/>
        <v>0.012532697355580193</v>
      </c>
      <c r="N15" s="147">
        <f t="shared" si="7"/>
        <v>79.79128288410709</v>
      </c>
      <c r="O15" s="133">
        <f t="shared" si="8"/>
        <v>0.002824433154776111</v>
      </c>
      <c r="P15" s="4">
        <v>0.025697175338992396</v>
      </c>
      <c r="Q15" s="14">
        <f>P15/$P$7</f>
        <v>0.03479084532282014</v>
      </c>
      <c r="R15" s="15">
        <f t="shared" si="9"/>
        <v>28.743193524650472</v>
      </c>
      <c r="S15" s="14">
        <f t="shared" si="10"/>
        <v>0.0025658499730615214</v>
      </c>
      <c r="T15" s="15">
        <f t="shared" si="11"/>
        <v>0.241815992948922</v>
      </c>
      <c r="U15" s="15">
        <f t="shared" si="0"/>
        <v>0.14665291585233914</v>
      </c>
      <c r="V15" s="5">
        <v>3.3826912668903395</v>
      </c>
      <c r="W15" s="15">
        <f t="shared" si="12"/>
        <v>0.241815992948922</v>
      </c>
      <c r="X15" s="15">
        <f>IF(U15&lt;V15,U5:U15,0)</f>
        <v>0.14665291585233914</v>
      </c>
      <c r="Y15" s="15">
        <f t="shared" si="13"/>
        <v>0</v>
      </c>
      <c r="Z15" s="15">
        <f t="shared" si="14"/>
        <v>0.241815992948922</v>
      </c>
      <c r="AA15" s="15">
        <f t="shared" si="1"/>
        <v>0.7292115451346004</v>
      </c>
      <c r="AB15" s="16">
        <f t="shared" si="15"/>
        <v>0.44224121846964665</v>
      </c>
      <c r="AC15">
        <f t="shared" si="16"/>
        <v>0.44224121846964665</v>
      </c>
      <c r="AD15">
        <f t="shared" si="17"/>
        <v>0</v>
      </c>
      <c r="AE15">
        <f t="shared" si="18"/>
        <v>0.7292115451346004</v>
      </c>
      <c r="AF15">
        <f t="shared" si="19"/>
        <v>1.282988630309049</v>
      </c>
      <c r="AG15">
        <f t="shared" si="20"/>
        <v>0.7780875919152459</v>
      </c>
      <c r="AH15">
        <f t="shared" si="21"/>
        <v>0.7780875919152459</v>
      </c>
      <c r="AI15">
        <f t="shared" si="22"/>
        <v>0</v>
      </c>
      <c r="AJ15" s="15">
        <f t="shared" si="23"/>
        <v>1.282988630309049</v>
      </c>
      <c r="AK15">
        <f t="shared" si="24"/>
        <v>1.4499938226784908</v>
      </c>
      <c r="AL15">
        <f t="shared" si="25"/>
        <v>0.8793703818779129</v>
      </c>
      <c r="AM15">
        <f t="shared" si="26"/>
        <v>0.8793703818779129</v>
      </c>
      <c r="AN15">
        <f t="shared" si="27"/>
        <v>0</v>
      </c>
      <c r="AO15" s="15">
        <f t="shared" si="28"/>
        <v>1.4499938226784908</v>
      </c>
      <c r="AP15">
        <f t="shared" si="29"/>
        <v>1.458907519133266</v>
      </c>
      <c r="AQ15">
        <f t="shared" si="30"/>
        <v>0.8847762260496489</v>
      </c>
      <c r="AR15">
        <f t="shared" si="31"/>
        <v>0.8847762260496489</v>
      </c>
      <c r="AS15">
        <f t="shared" si="32"/>
        <v>0</v>
      </c>
      <c r="AT15" s="15">
        <f t="shared" si="33"/>
        <v>1.458907519133266</v>
      </c>
      <c r="AU15">
        <f t="shared" si="34"/>
        <v>1.4589075191332657</v>
      </c>
      <c r="AV15">
        <f t="shared" si="35"/>
        <v>0.8847762260496487</v>
      </c>
      <c r="AW15">
        <f t="shared" si="36"/>
        <v>0.8847762260496487</v>
      </c>
      <c r="AX15">
        <f t="shared" si="37"/>
        <v>0</v>
      </c>
      <c r="AY15" s="15">
        <f t="shared" si="38"/>
        <v>1.4589075191332657</v>
      </c>
      <c r="AZ15">
        <f t="shared" si="39"/>
        <v>1.4589075191332657</v>
      </c>
      <c r="BB15">
        <f t="shared" si="2"/>
        <v>0</v>
      </c>
      <c r="BC15" s="15">
        <f t="shared" si="3"/>
        <v>1.4589075191332657</v>
      </c>
      <c r="BD15" s="15"/>
    </row>
    <row r="16" spans="1:56" ht="12.75">
      <c r="A16" s="1" t="s">
        <v>8</v>
      </c>
      <c r="B16" s="1" t="s">
        <v>119</v>
      </c>
      <c r="C16" s="4">
        <v>0.046891050325212215</v>
      </c>
      <c r="D16" s="5">
        <v>3.8397504283348596</v>
      </c>
      <c r="E16" s="129">
        <f t="shared" si="4"/>
        <v>0.011414750789865985</v>
      </c>
      <c r="F16" s="135">
        <f>G16*$D16</f>
        <v>403.5796411686209</v>
      </c>
      <c r="G16" s="135">
        <v>105.10569598233931</v>
      </c>
      <c r="H16" s="136">
        <f>I16*$D16</f>
        <v>8.308068001788136</v>
      </c>
      <c r="I16" s="137">
        <v>2.1637</v>
      </c>
      <c r="J16" s="137">
        <v>2.1637</v>
      </c>
      <c r="K16" s="138">
        <f t="shared" si="5"/>
        <v>0</v>
      </c>
      <c r="L16" s="133">
        <v>0.011414750789865985</v>
      </c>
      <c r="M16" s="133">
        <f t="shared" si="6"/>
        <v>0.017782597583727494</v>
      </c>
      <c r="N16" s="147">
        <f t="shared" si="7"/>
        <v>56.234753966151736</v>
      </c>
      <c r="O16" s="133">
        <f t="shared" si="8"/>
        <v>0.001990584658017982</v>
      </c>
      <c r="P16" s="4">
        <v>0.046891050325212215</v>
      </c>
      <c r="Q16" s="14">
        <f>P16/$P$7</f>
        <v>0.06348477049979924</v>
      </c>
      <c r="R16" s="15">
        <f t="shared" si="9"/>
        <v>15.751809325721077</v>
      </c>
      <c r="S16" s="14">
        <f t="shared" si="10"/>
        <v>0.0014061339252164093</v>
      </c>
      <c r="T16" s="15">
        <f t="shared" si="11"/>
        <v>0.13251970104068841</v>
      </c>
      <c r="U16" s="15">
        <f t="shared" si="0"/>
        <v>0.06124679994485761</v>
      </c>
      <c r="V16" s="5">
        <v>4.7996880354185745</v>
      </c>
      <c r="W16" s="15">
        <f t="shared" si="12"/>
        <v>0.13251970104068841</v>
      </c>
      <c r="X16" s="15">
        <f>IF(U16&lt;V16,U6:U16,0)</f>
        <v>0.06124679994485761</v>
      </c>
      <c r="Y16" s="15">
        <f t="shared" si="13"/>
        <v>0</v>
      </c>
      <c r="Z16" s="15">
        <f t="shared" si="14"/>
        <v>0.13251970104068841</v>
      </c>
      <c r="AA16" s="15">
        <f t="shared" si="1"/>
        <v>0.399621608059098</v>
      </c>
      <c r="AB16" s="16">
        <f t="shared" si="15"/>
        <v>0.18469363038272313</v>
      </c>
      <c r="AC16">
        <f t="shared" si="16"/>
        <v>0.18469363038272313</v>
      </c>
      <c r="AD16">
        <f t="shared" si="17"/>
        <v>0</v>
      </c>
      <c r="AE16">
        <f t="shared" si="18"/>
        <v>0.399621608059098</v>
      </c>
      <c r="AF16">
        <f t="shared" si="19"/>
        <v>0.7031018405927788</v>
      </c>
      <c r="AG16">
        <f t="shared" si="20"/>
        <v>0.3249534781128524</v>
      </c>
      <c r="AH16">
        <f t="shared" si="21"/>
        <v>0.3249534781128524</v>
      </c>
      <c r="AI16">
        <f t="shared" si="22"/>
        <v>0</v>
      </c>
      <c r="AJ16" s="15">
        <f t="shared" si="23"/>
        <v>0.7031018405927788</v>
      </c>
      <c r="AK16">
        <f t="shared" si="24"/>
        <v>0.794623819330206</v>
      </c>
      <c r="AL16">
        <f t="shared" si="25"/>
        <v>0.3672523082359874</v>
      </c>
      <c r="AM16">
        <f t="shared" si="26"/>
        <v>0.3672523082359874</v>
      </c>
      <c r="AN16">
        <f t="shared" si="27"/>
        <v>0</v>
      </c>
      <c r="AO16" s="15">
        <f t="shared" si="28"/>
        <v>0.794623819330206</v>
      </c>
      <c r="AP16">
        <f t="shared" si="29"/>
        <v>0.799508692224464</v>
      </c>
      <c r="AQ16">
        <f t="shared" si="30"/>
        <v>0.3695099561974691</v>
      </c>
      <c r="AR16">
        <f t="shared" si="31"/>
        <v>0.3695099561974691</v>
      </c>
      <c r="AS16">
        <f t="shared" si="32"/>
        <v>0</v>
      </c>
      <c r="AT16" s="15">
        <f t="shared" si="33"/>
        <v>0.799508692224464</v>
      </c>
      <c r="AU16">
        <f t="shared" si="34"/>
        <v>0.7995086922244637</v>
      </c>
      <c r="AV16">
        <f t="shared" si="35"/>
        <v>0.369509956197469</v>
      </c>
      <c r="AW16">
        <f t="shared" si="36"/>
        <v>0.369509956197469</v>
      </c>
      <c r="AX16">
        <f t="shared" si="37"/>
        <v>0</v>
      </c>
      <c r="AY16" s="15">
        <f t="shared" si="38"/>
        <v>0.7995086922244636</v>
      </c>
      <c r="AZ16">
        <f t="shared" si="39"/>
        <v>0.7995086922244636</v>
      </c>
      <c r="BB16">
        <f t="shared" si="2"/>
        <v>0</v>
      </c>
      <c r="BC16" s="15">
        <f t="shared" si="3"/>
        <v>0.7995086922244636</v>
      </c>
      <c r="BD16" s="15"/>
    </row>
    <row r="17" spans="1:56" ht="12.75">
      <c r="A17" s="1" t="s">
        <v>9</v>
      </c>
      <c r="B17" s="1" t="s">
        <v>119</v>
      </c>
      <c r="C17" s="4">
        <v>0.013474073696395106</v>
      </c>
      <c r="D17" s="5">
        <v>1.4166913274515311</v>
      </c>
      <c r="E17" s="129">
        <f t="shared" si="4"/>
        <v>0.004211518105367183</v>
      </c>
      <c r="F17" s="135">
        <f>G17*$D17</f>
        <v>115.96801073459599</v>
      </c>
      <c r="G17" s="135">
        <v>81.85834732482583</v>
      </c>
      <c r="H17" s="136">
        <f>I17*$D17</f>
        <v>2.234405561656555</v>
      </c>
      <c r="I17" s="137">
        <v>1.5772</v>
      </c>
      <c r="J17" s="137">
        <v>1.5772</v>
      </c>
      <c r="K17" s="138">
        <f t="shared" si="5"/>
        <v>0</v>
      </c>
      <c r="L17" s="133">
        <v>0.004211518105367183</v>
      </c>
      <c r="M17" s="133">
        <f t="shared" si="6"/>
        <v>0.00656096073081297</v>
      </c>
      <c r="N17" s="147">
        <f t="shared" si="7"/>
        <v>152.4167025270535</v>
      </c>
      <c r="O17" s="133">
        <f t="shared" si="8"/>
        <v>0.0053952107598561165</v>
      </c>
      <c r="P17" s="4">
        <v>0.013474073696395106</v>
      </c>
      <c r="Q17" s="14">
        <f>P17/$P$7</f>
        <v>0.018242254553489864</v>
      </c>
      <c r="R17" s="15">
        <f t="shared" si="9"/>
        <v>54.817785656252305</v>
      </c>
      <c r="S17" s="14">
        <f t="shared" si="10"/>
        <v>0.004893478998036898</v>
      </c>
      <c r="T17" s="15">
        <f t="shared" si="11"/>
        <v>0.46118108825866877</v>
      </c>
      <c r="U17" s="15">
        <f t="shared" si="0"/>
        <v>0.2924049507092752</v>
      </c>
      <c r="V17" s="5">
        <v>1.7708641593144139</v>
      </c>
      <c r="W17" s="15">
        <f t="shared" si="12"/>
        <v>0.4611810882586688</v>
      </c>
      <c r="X17" s="15">
        <f>IF(U17&lt;V17,U7:U17,0)</f>
        <v>0.2924049507092752</v>
      </c>
      <c r="Y17" s="15">
        <f t="shared" si="13"/>
        <v>0</v>
      </c>
      <c r="Z17" s="15">
        <f t="shared" si="14"/>
        <v>0.4611810882586688</v>
      </c>
      <c r="AA17" s="15">
        <f t="shared" si="1"/>
        <v>1.3907209769495918</v>
      </c>
      <c r="AB17" s="16">
        <f t="shared" si="15"/>
        <v>0.881765772856703</v>
      </c>
      <c r="AC17">
        <f t="shared" si="16"/>
        <v>0.881765772856703</v>
      </c>
      <c r="AD17">
        <f t="shared" si="17"/>
        <v>0</v>
      </c>
      <c r="AE17">
        <f t="shared" si="18"/>
        <v>1.3907209769495918</v>
      </c>
      <c r="AF17">
        <f t="shared" si="19"/>
        <v>2.446860877702191</v>
      </c>
      <c r="AG17">
        <f t="shared" si="20"/>
        <v>1.5513954334911177</v>
      </c>
      <c r="AH17">
        <f t="shared" si="21"/>
        <v>1.5513954334911177</v>
      </c>
      <c r="AI17">
        <f t="shared" si="22"/>
        <v>0</v>
      </c>
      <c r="AJ17" s="15">
        <f t="shared" si="23"/>
        <v>2.446860877702191</v>
      </c>
      <c r="AK17">
        <f t="shared" si="24"/>
        <v>2.765366016351379</v>
      </c>
      <c r="AL17">
        <f t="shared" si="25"/>
        <v>1.753338838670669</v>
      </c>
      <c r="AM17">
        <f t="shared" si="26"/>
        <v>1.753338838670669</v>
      </c>
      <c r="AN17">
        <f t="shared" si="27"/>
        <v>0</v>
      </c>
      <c r="AO17" s="15">
        <f t="shared" si="28"/>
        <v>2.765366016351379</v>
      </c>
      <c r="AP17">
        <f t="shared" si="29"/>
        <v>2.7823658358475574</v>
      </c>
      <c r="AQ17">
        <f t="shared" si="30"/>
        <v>1.7641173192033714</v>
      </c>
      <c r="AR17">
        <f t="shared" si="31"/>
        <v>1.7641173192033714</v>
      </c>
      <c r="AS17">
        <f t="shared" si="32"/>
        <v>0</v>
      </c>
      <c r="AT17" s="15">
        <f t="shared" si="33"/>
        <v>2.7823658358475574</v>
      </c>
      <c r="AU17">
        <f t="shared" si="34"/>
        <v>2.7823658358475565</v>
      </c>
      <c r="AV17">
        <f t="shared" si="35"/>
        <v>1.764117319203371</v>
      </c>
      <c r="AW17">
        <f t="shared" si="36"/>
        <v>1.764117319203371</v>
      </c>
      <c r="AX17">
        <f t="shared" si="37"/>
        <v>0</v>
      </c>
      <c r="AY17" s="15">
        <f t="shared" si="38"/>
        <v>2.7823658358475565</v>
      </c>
      <c r="AZ17">
        <f t="shared" si="39"/>
        <v>2.7823658358475565</v>
      </c>
      <c r="BB17">
        <f t="shared" si="2"/>
        <v>0</v>
      </c>
      <c r="BC17" s="15">
        <f t="shared" si="3"/>
        <v>2.7823658358475565</v>
      </c>
      <c r="BD17" s="15"/>
    </row>
    <row r="18" spans="1:56" ht="12.75">
      <c r="A18" s="1" t="s">
        <v>10</v>
      </c>
      <c r="B18" s="3"/>
      <c r="C18" s="4">
        <v>0.01592824798809393</v>
      </c>
      <c r="D18" s="5"/>
      <c r="E18" s="129"/>
      <c r="F18" s="135">
        <f>SUM(F19:F20)</f>
        <v>137.0904802280234</v>
      </c>
      <c r="G18" s="128"/>
      <c r="H18" s="136">
        <f>SUM(H19:H20)</f>
        <v>3.5419986315495864</v>
      </c>
      <c r="I18" s="137"/>
      <c r="J18" s="137"/>
      <c r="K18" s="138">
        <f t="shared" si="5"/>
        <v>0</v>
      </c>
      <c r="L18" s="133"/>
      <c r="M18" s="133"/>
      <c r="N18" s="147"/>
      <c r="O18" s="133"/>
      <c r="P18" s="4"/>
      <c r="Q18" s="14"/>
      <c r="R18" s="15"/>
      <c r="S18" s="14"/>
      <c r="U18" s="15"/>
      <c r="V18" s="5"/>
      <c r="Y18" s="15">
        <f t="shared" si="13"/>
        <v>0</v>
      </c>
      <c r="Z18" s="15">
        <f t="shared" si="14"/>
        <v>0</v>
      </c>
      <c r="AA18" s="15">
        <f t="shared" si="1"/>
        <v>0</v>
      </c>
      <c r="AB18" s="16">
        <f t="shared" si="15"/>
        <v>0</v>
      </c>
      <c r="AC18">
        <f t="shared" si="16"/>
        <v>0</v>
      </c>
      <c r="AD18">
        <f t="shared" si="17"/>
        <v>0</v>
      </c>
      <c r="AE18">
        <f t="shared" si="18"/>
        <v>0</v>
      </c>
      <c r="AF18">
        <f t="shared" si="19"/>
        <v>0</v>
      </c>
      <c r="AG18">
        <f t="shared" si="20"/>
        <v>0</v>
      </c>
      <c r="AH18">
        <f t="shared" si="21"/>
        <v>0</v>
      </c>
      <c r="AI18">
        <f t="shared" si="22"/>
        <v>0</v>
      </c>
      <c r="AJ18" s="15">
        <f t="shared" si="23"/>
        <v>0</v>
      </c>
      <c r="AK18">
        <f t="shared" si="24"/>
        <v>0</v>
      </c>
      <c r="AL18">
        <f t="shared" si="25"/>
        <v>0</v>
      </c>
      <c r="AM18">
        <f t="shared" si="26"/>
        <v>0</v>
      </c>
      <c r="AN18">
        <f t="shared" si="27"/>
        <v>0</v>
      </c>
      <c r="AO18" s="15">
        <f t="shared" si="28"/>
        <v>0</v>
      </c>
      <c r="AP18">
        <f t="shared" si="29"/>
        <v>0</v>
      </c>
      <c r="AQ18">
        <f t="shared" si="30"/>
        <v>0</v>
      </c>
      <c r="AR18">
        <f t="shared" si="31"/>
        <v>0</v>
      </c>
      <c r="AS18">
        <f t="shared" si="32"/>
        <v>0</v>
      </c>
      <c r="AT18" s="15">
        <f t="shared" si="33"/>
        <v>0</v>
      </c>
      <c r="AU18">
        <f t="shared" si="34"/>
        <v>0</v>
      </c>
      <c r="AV18">
        <f t="shared" si="35"/>
        <v>0</v>
      </c>
      <c r="AW18">
        <f t="shared" si="36"/>
        <v>0</v>
      </c>
      <c r="AX18">
        <f t="shared" si="37"/>
        <v>0</v>
      </c>
      <c r="AY18" s="15">
        <f t="shared" si="38"/>
        <v>0</v>
      </c>
      <c r="AZ18">
        <f t="shared" si="39"/>
        <v>0</v>
      </c>
      <c r="BB18">
        <f t="shared" si="2"/>
        <v>0</v>
      </c>
      <c r="BC18" s="15">
        <f t="shared" si="3"/>
        <v>0</v>
      </c>
      <c r="BD18" s="15">
        <f>SUM(BB19:BC20)</f>
        <v>4.427498289436983</v>
      </c>
    </row>
    <row r="19" spans="1:56" ht="12.75">
      <c r="A19" s="1" t="s">
        <v>11</v>
      </c>
      <c r="B19" s="1" t="s">
        <v>119</v>
      </c>
      <c r="C19" s="4">
        <v>0.010553148495204499</v>
      </c>
      <c r="D19" s="5">
        <v>0.7711706426471154</v>
      </c>
      <c r="E19" s="129">
        <f t="shared" si="4"/>
        <v>0.0022925241800402624</v>
      </c>
      <c r="F19" s="135">
        <f>G19*$D19</f>
        <v>90.82833191739832</v>
      </c>
      <c r="G19" s="135">
        <v>117.77981019300938</v>
      </c>
      <c r="H19" s="136">
        <f>I19*$D19</f>
        <v>2.7086597652337283</v>
      </c>
      <c r="I19" s="137">
        <v>3.5124</v>
      </c>
      <c r="J19" s="137">
        <v>3.5124</v>
      </c>
      <c r="K19" s="138">
        <f t="shared" si="5"/>
        <v>0</v>
      </c>
      <c r="L19" s="133">
        <v>0.0022925241800402624</v>
      </c>
      <c r="M19" s="133">
        <f t="shared" si="6"/>
        <v>0.003571434514436688</v>
      </c>
      <c r="N19" s="147">
        <f t="shared" si="7"/>
        <v>279.999534068939</v>
      </c>
      <c r="O19" s="133">
        <f t="shared" si="8"/>
        <v>0.009911357967446527</v>
      </c>
      <c r="P19" s="4">
        <v>0.010553148495204499</v>
      </c>
      <c r="Q19" s="14">
        <f>P19/$P$7</f>
        <v>0.014287677619115632</v>
      </c>
      <c r="R19" s="15">
        <f t="shared" si="9"/>
        <v>69.99038098830628</v>
      </c>
      <c r="S19" s="14">
        <f t="shared" si="10"/>
        <v>0.006247907596607086</v>
      </c>
      <c r="T19" s="15">
        <f t="shared" si="11"/>
        <v>0.5888278719289056</v>
      </c>
      <c r="U19" s="15">
        <f t="shared" si="0"/>
        <v>0.16764260105025214</v>
      </c>
      <c r="V19" s="5">
        <v>0.9639633033088942</v>
      </c>
      <c r="W19" s="15">
        <f t="shared" si="12"/>
        <v>0.5888278719289056</v>
      </c>
      <c r="X19" s="15">
        <f aca="true" t="shared" si="40" ref="X19:X27">IF(U19&lt;V19,U9:U19,0)</f>
        <v>0.16764260105025214</v>
      </c>
      <c r="Y19" s="15">
        <f t="shared" si="13"/>
        <v>0</v>
      </c>
      <c r="Z19" s="15">
        <f t="shared" si="14"/>
        <v>0.5888278719289056</v>
      </c>
      <c r="AA19" s="15">
        <f t="shared" si="1"/>
        <v>1.7756479919766615</v>
      </c>
      <c r="AB19" s="16">
        <f t="shared" si="15"/>
        <v>0.505536952504459</v>
      </c>
      <c r="AC19">
        <f t="shared" si="16"/>
        <v>0.505536952504459</v>
      </c>
      <c r="AD19">
        <f t="shared" si="17"/>
        <v>0</v>
      </c>
      <c r="AE19">
        <f t="shared" si="18"/>
        <v>1.7756479919766617</v>
      </c>
      <c r="AF19">
        <f t="shared" si="19"/>
        <v>3.1241087724641603</v>
      </c>
      <c r="AG19">
        <f t="shared" si="20"/>
        <v>0.8894513075003303</v>
      </c>
      <c r="AH19">
        <f t="shared" si="21"/>
        <v>0.8894513075003303</v>
      </c>
      <c r="AI19">
        <f t="shared" si="22"/>
        <v>0</v>
      </c>
      <c r="AJ19" s="15">
        <f t="shared" si="23"/>
        <v>3.1241087724641603</v>
      </c>
      <c r="AK19">
        <f t="shared" si="24"/>
        <v>3.5307705106923155</v>
      </c>
      <c r="AL19">
        <f t="shared" si="25"/>
        <v>1.0052301875334004</v>
      </c>
      <c r="AM19">
        <f t="shared" si="26"/>
        <v>0</v>
      </c>
      <c r="AN19">
        <f t="shared" si="27"/>
        <v>3.3858247065421603</v>
      </c>
      <c r="AO19" s="15">
        <f t="shared" si="28"/>
        <v>0</v>
      </c>
      <c r="AP19">
        <f t="shared" si="29"/>
        <v>0</v>
      </c>
      <c r="AQ19">
        <f t="shared" si="30"/>
        <v>0</v>
      </c>
      <c r="AR19">
        <f t="shared" si="31"/>
        <v>0</v>
      </c>
      <c r="AS19">
        <f t="shared" si="32"/>
        <v>3.3858247065421603</v>
      </c>
      <c r="AT19" s="15">
        <f t="shared" si="33"/>
        <v>0</v>
      </c>
      <c r="AU19">
        <f t="shared" si="34"/>
        <v>0</v>
      </c>
      <c r="AV19">
        <f t="shared" si="35"/>
        <v>0</v>
      </c>
      <c r="AW19">
        <f t="shared" si="36"/>
        <v>0</v>
      </c>
      <c r="AX19">
        <f t="shared" si="37"/>
        <v>3.3858247065421603</v>
      </c>
      <c r="AY19" s="15">
        <f t="shared" si="38"/>
        <v>0</v>
      </c>
      <c r="AZ19">
        <f t="shared" si="39"/>
        <v>0</v>
      </c>
      <c r="BB19">
        <f t="shared" si="2"/>
        <v>3.3858247065421603</v>
      </c>
      <c r="BC19" s="15">
        <f t="shared" si="3"/>
        <v>0</v>
      </c>
      <c r="BD19" s="15"/>
    </row>
    <row r="20" spans="1:56" ht="12.75">
      <c r="A20" s="1" t="s">
        <v>264</v>
      </c>
      <c r="B20" s="1" t="s">
        <v>120</v>
      </c>
      <c r="C20" s="4">
        <v>0.005375099492889428</v>
      </c>
      <c r="D20" s="5">
        <v>1.4333313834122088</v>
      </c>
      <c r="E20" s="129">
        <f t="shared" si="4"/>
        <v>0.0042609854068144095</v>
      </c>
      <c r="F20" s="135">
        <f>G20*$D20</f>
        <v>46.26214831062508</v>
      </c>
      <c r="G20" s="135">
        <v>32.27596133456086</v>
      </c>
      <c r="H20" s="136">
        <f>I20*$D20</f>
        <v>0.8333388663158582</v>
      </c>
      <c r="I20" s="137">
        <v>0.5814</v>
      </c>
      <c r="J20" s="137">
        <v>0.5814</v>
      </c>
      <c r="K20" s="138">
        <f t="shared" si="5"/>
        <v>0</v>
      </c>
      <c r="L20" s="133">
        <v>0.0042609854068144095</v>
      </c>
      <c r="M20" s="133">
        <f t="shared" si="6"/>
        <v>0.006638023921361986</v>
      </c>
      <c r="N20" s="147">
        <f t="shared" si="7"/>
        <v>150.6472425900539</v>
      </c>
      <c r="O20" s="133">
        <f t="shared" si="8"/>
        <v>0.0053325758311839125</v>
      </c>
      <c r="P20" s="4">
        <v>0.005375099492889428</v>
      </c>
      <c r="Q20" s="14">
        <f>P20/$P$7</f>
        <v>0.007277229990649145</v>
      </c>
      <c r="R20" s="15">
        <f t="shared" si="9"/>
        <v>137.4149231623773</v>
      </c>
      <c r="S20" s="14">
        <f t="shared" si="10"/>
        <v>0.01226676766421432</v>
      </c>
      <c r="T20" s="15">
        <f t="shared" si="11"/>
        <v>1.1560693860274236</v>
      </c>
      <c r="U20" s="15">
        <f t="shared" si="0"/>
        <v>1.9884234365796758</v>
      </c>
      <c r="V20" s="5">
        <v>1.791664229265261</v>
      </c>
      <c r="W20" s="15">
        <f t="shared" si="12"/>
        <v>0</v>
      </c>
      <c r="X20" s="15">
        <f t="shared" si="40"/>
        <v>0</v>
      </c>
      <c r="Y20" s="15">
        <f t="shared" si="13"/>
        <v>1.0416735828948227</v>
      </c>
      <c r="Z20" s="15">
        <f t="shared" si="14"/>
        <v>0</v>
      </c>
      <c r="AA20" s="15">
        <f t="shared" si="1"/>
        <v>0</v>
      </c>
      <c r="AB20" s="16">
        <f t="shared" si="15"/>
        <v>0</v>
      </c>
      <c r="AC20">
        <f t="shared" si="16"/>
        <v>0</v>
      </c>
      <c r="AD20">
        <f t="shared" si="17"/>
        <v>1.0416735828948227</v>
      </c>
      <c r="AE20">
        <f t="shared" si="18"/>
        <v>0</v>
      </c>
      <c r="AF20">
        <f t="shared" si="19"/>
        <v>0</v>
      </c>
      <c r="AG20">
        <f t="shared" si="20"/>
        <v>0</v>
      </c>
      <c r="AH20">
        <f t="shared" si="21"/>
        <v>0</v>
      </c>
      <c r="AI20">
        <f t="shared" si="22"/>
        <v>1.0416735828948227</v>
      </c>
      <c r="AJ20" s="15">
        <f t="shared" si="23"/>
        <v>0</v>
      </c>
      <c r="AK20">
        <f t="shared" si="24"/>
        <v>0</v>
      </c>
      <c r="AL20">
        <f t="shared" si="25"/>
        <v>0</v>
      </c>
      <c r="AM20">
        <f t="shared" si="26"/>
        <v>0</v>
      </c>
      <c r="AN20">
        <f t="shared" si="27"/>
        <v>1.0416735828948227</v>
      </c>
      <c r="AO20" s="15">
        <f t="shared" si="28"/>
        <v>0</v>
      </c>
      <c r="AP20">
        <f t="shared" si="29"/>
        <v>0</v>
      </c>
      <c r="AQ20">
        <f t="shared" si="30"/>
        <v>0</v>
      </c>
      <c r="AR20">
        <f t="shared" si="31"/>
        <v>0</v>
      </c>
      <c r="AS20">
        <f t="shared" si="32"/>
        <v>1.0416735828948227</v>
      </c>
      <c r="AT20" s="15">
        <f t="shared" si="33"/>
        <v>0</v>
      </c>
      <c r="AU20">
        <f t="shared" si="34"/>
        <v>0</v>
      </c>
      <c r="AV20">
        <f t="shared" si="35"/>
        <v>0</v>
      </c>
      <c r="AW20">
        <f t="shared" si="36"/>
        <v>0</v>
      </c>
      <c r="AX20">
        <f t="shared" si="37"/>
        <v>1.0416735828948227</v>
      </c>
      <c r="AY20" s="15">
        <f t="shared" si="38"/>
        <v>0</v>
      </c>
      <c r="AZ20">
        <f t="shared" si="39"/>
        <v>0</v>
      </c>
      <c r="BB20">
        <f t="shared" si="2"/>
        <v>1.0416735828948227</v>
      </c>
      <c r="BC20" s="15">
        <f t="shared" si="3"/>
        <v>0</v>
      </c>
      <c r="BD20" s="15"/>
    </row>
    <row r="21" spans="1:56" ht="12.75">
      <c r="A21" s="1" t="s">
        <v>12</v>
      </c>
      <c r="B21" s="3"/>
      <c r="C21" s="4">
        <v>0.019706044261933637</v>
      </c>
      <c r="D21" s="5"/>
      <c r="E21" s="129"/>
      <c r="F21" s="135">
        <f>SUM(F22:F23)</f>
        <v>169.60503586348585</v>
      </c>
      <c r="G21" s="128"/>
      <c r="H21" s="136">
        <f>SUM(H22:H23)</f>
        <v>3.6927581644000895</v>
      </c>
      <c r="I21" s="137"/>
      <c r="J21" s="137"/>
      <c r="K21" s="138">
        <f t="shared" si="5"/>
        <v>0</v>
      </c>
      <c r="L21" s="133"/>
      <c r="M21" s="133"/>
      <c r="N21" s="147"/>
      <c r="O21" s="133"/>
      <c r="P21" s="4"/>
      <c r="Q21" s="14"/>
      <c r="R21" s="15"/>
      <c r="S21" s="14"/>
      <c r="U21" s="15"/>
      <c r="V21" s="5"/>
      <c r="Y21" s="15">
        <f t="shared" si="13"/>
        <v>0</v>
      </c>
      <c r="Z21" s="15">
        <f t="shared" si="14"/>
        <v>0</v>
      </c>
      <c r="AA21" s="15">
        <f t="shared" si="1"/>
        <v>0</v>
      </c>
      <c r="AB21" s="16">
        <f t="shared" si="15"/>
        <v>0</v>
      </c>
      <c r="AC21">
        <f t="shared" si="16"/>
        <v>0</v>
      </c>
      <c r="AD21">
        <f t="shared" si="17"/>
        <v>0</v>
      </c>
      <c r="AE21">
        <f t="shared" si="18"/>
        <v>0</v>
      </c>
      <c r="AF21">
        <f t="shared" si="19"/>
        <v>0</v>
      </c>
      <c r="AG21">
        <f t="shared" si="20"/>
        <v>0</v>
      </c>
      <c r="AH21">
        <f t="shared" si="21"/>
        <v>0</v>
      </c>
      <c r="AI21">
        <f t="shared" si="22"/>
        <v>0</v>
      </c>
      <c r="AJ21" s="15">
        <f t="shared" si="23"/>
        <v>0</v>
      </c>
      <c r="AK21">
        <f t="shared" si="24"/>
        <v>0</v>
      </c>
      <c r="AL21">
        <f t="shared" si="25"/>
        <v>0</v>
      </c>
      <c r="AM21">
        <f t="shared" si="26"/>
        <v>0</v>
      </c>
      <c r="AN21">
        <f t="shared" si="27"/>
        <v>0</v>
      </c>
      <c r="AO21" s="15">
        <f t="shared" si="28"/>
        <v>0</v>
      </c>
      <c r="AP21">
        <f t="shared" si="29"/>
        <v>0</v>
      </c>
      <c r="AQ21">
        <f t="shared" si="30"/>
        <v>0</v>
      </c>
      <c r="AR21">
        <f t="shared" si="31"/>
        <v>0</v>
      </c>
      <c r="AS21">
        <f t="shared" si="32"/>
        <v>0</v>
      </c>
      <c r="AT21" s="15">
        <f t="shared" si="33"/>
        <v>0</v>
      </c>
      <c r="AU21">
        <f t="shared" si="34"/>
        <v>0</v>
      </c>
      <c r="AV21">
        <f t="shared" si="35"/>
        <v>0</v>
      </c>
      <c r="AW21">
        <f t="shared" si="36"/>
        <v>0</v>
      </c>
      <c r="AX21">
        <f t="shared" si="37"/>
        <v>0</v>
      </c>
      <c r="AY21" s="15">
        <f t="shared" si="38"/>
        <v>0</v>
      </c>
      <c r="AZ21">
        <f t="shared" si="39"/>
        <v>0</v>
      </c>
      <c r="BB21">
        <f t="shared" si="2"/>
        <v>0</v>
      </c>
      <c r="BC21" s="15">
        <f t="shared" si="3"/>
        <v>0</v>
      </c>
      <c r="BD21" s="15">
        <f>SUM(BB22:BC23)</f>
        <v>4.615947705500112</v>
      </c>
    </row>
    <row r="22" spans="1:56" ht="12.75">
      <c r="A22" s="1" t="s">
        <v>13</v>
      </c>
      <c r="B22" s="1" t="s">
        <v>121</v>
      </c>
      <c r="C22" s="4">
        <v>0.012325607705875869</v>
      </c>
      <c r="D22" s="5">
        <v>2.365470767617115</v>
      </c>
      <c r="E22" s="129">
        <f t="shared" si="4"/>
        <v>0.007032034976494993</v>
      </c>
      <c r="F22" s="135">
        <f>G22*$D22</f>
        <v>106.08344877376256</v>
      </c>
      <c r="G22" s="135">
        <v>44.846653877962304</v>
      </c>
      <c r="H22" s="136">
        <f>I22*$D22</f>
        <v>2.378717403915771</v>
      </c>
      <c r="I22" s="137">
        <v>1.0056</v>
      </c>
      <c r="J22" s="137">
        <v>1.0056</v>
      </c>
      <c r="K22" s="138">
        <f t="shared" si="5"/>
        <v>0</v>
      </c>
      <c r="L22" s="133">
        <v>0.007032034976494993</v>
      </c>
      <c r="M22" s="133">
        <f t="shared" si="6"/>
        <v>0.010954934582779026</v>
      </c>
      <c r="N22" s="147">
        <f t="shared" si="7"/>
        <v>91.28306448967604</v>
      </c>
      <c r="O22" s="133">
        <f t="shared" si="8"/>
        <v>0.0032312165501672905</v>
      </c>
      <c r="P22" s="4">
        <v>0.012325607705875869</v>
      </c>
      <c r="Q22" s="14">
        <f>P22/$P$7</f>
        <v>0.016687371493091956</v>
      </c>
      <c r="R22" s="15">
        <f t="shared" si="9"/>
        <v>59.92555510698425</v>
      </c>
      <c r="S22" s="14">
        <f t="shared" si="10"/>
        <v>0.0053494398186856315</v>
      </c>
      <c r="T22" s="15">
        <f t="shared" si="11"/>
        <v>0.504152664831176</v>
      </c>
      <c r="U22" s="15">
        <f t="shared" si="0"/>
        <v>0.5013451320914638</v>
      </c>
      <c r="V22" s="5">
        <v>2.9568384595213937</v>
      </c>
      <c r="W22" s="15">
        <f t="shared" si="12"/>
        <v>0.504152664831176</v>
      </c>
      <c r="X22" s="15">
        <f t="shared" si="40"/>
        <v>0.5013451320914638</v>
      </c>
      <c r="Y22" s="15">
        <f t="shared" si="13"/>
        <v>0</v>
      </c>
      <c r="Z22" s="15">
        <f t="shared" si="14"/>
        <v>0.504152664831176</v>
      </c>
      <c r="AA22" s="15">
        <f t="shared" si="1"/>
        <v>1.5203045060089235</v>
      </c>
      <c r="AB22" s="16">
        <f t="shared" si="15"/>
        <v>1.5118382120216025</v>
      </c>
      <c r="AC22">
        <f t="shared" si="16"/>
        <v>1.5118382120216025</v>
      </c>
      <c r="AD22">
        <f t="shared" si="17"/>
        <v>0</v>
      </c>
      <c r="AE22">
        <f t="shared" si="18"/>
        <v>1.5203045060089235</v>
      </c>
      <c r="AF22">
        <f t="shared" si="19"/>
        <v>2.674852597756153</v>
      </c>
      <c r="AG22">
        <f t="shared" si="20"/>
        <v>2.659956839455204</v>
      </c>
      <c r="AH22">
        <f t="shared" si="21"/>
        <v>2.659956839455204</v>
      </c>
      <c r="AI22">
        <f t="shared" si="22"/>
        <v>0</v>
      </c>
      <c r="AJ22" s="15">
        <f t="shared" si="23"/>
        <v>2.674852597756153</v>
      </c>
      <c r="AK22">
        <f t="shared" si="24"/>
        <v>3.023035163131313</v>
      </c>
      <c r="AL22">
        <f t="shared" si="25"/>
        <v>3.006200440663597</v>
      </c>
      <c r="AM22">
        <f t="shared" si="26"/>
        <v>0</v>
      </c>
      <c r="AN22">
        <f t="shared" si="27"/>
        <v>2.9733967548947136</v>
      </c>
      <c r="AO22" s="15">
        <f t="shared" si="28"/>
        <v>0</v>
      </c>
      <c r="AP22">
        <f t="shared" si="29"/>
        <v>0</v>
      </c>
      <c r="AQ22">
        <f t="shared" si="30"/>
        <v>0</v>
      </c>
      <c r="AR22">
        <f t="shared" si="31"/>
        <v>0</v>
      </c>
      <c r="AS22">
        <f t="shared" si="32"/>
        <v>2.9733967548947136</v>
      </c>
      <c r="AT22" s="15">
        <f t="shared" si="33"/>
        <v>0</v>
      </c>
      <c r="AU22">
        <f t="shared" si="34"/>
        <v>0</v>
      </c>
      <c r="AV22">
        <f t="shared" si="35"/>
        <v>0</v>
      </c>
      <c r="AW22">
        <f t="shared" si="36"/>
        <v>0</v>
      </c>
      <c r="AX22">
        <f t="shared" si="37"/>
        <v>2.9733967548947136</v>
      </c>
      <c r="AY22" s="15">
        <f t="shared" si="38"/>
        <v>0</v>
      </c>
      <c r="AZ22">
        <f t="shared" si="39"/>
        <v>0</v>
      </c>
      <c r="BB22">
        <f t="shared" si="2"/>
        <v>2.9733967548947136</v>
      </c>
      <c r="BC22" s="15">
        <f t="shared" si="3"/>
        <v>0</v>
      </c>
      <c r="BD22" s="15"/>
    </row>
    <row r="23" spans="1:56" ht="12.75">
      <c r="A23" s="1" t="s">
        <v>14</v>
      </c>
      <c r="B23" s="1" t="s">
        <v>122</v>
      </c>
      <c r="C23" s="4">
        <v>0.0073804365560577664</v>
      </c>
      <c r="D23" s="5">
        <v>2.9331266975096395</v>
      </c>
      <c r="E23" s="129">
        <f t="shared" si="4"/>
        <v>0.008719553760605854</v>
      </c>
      <c r="F23" s="135">
        <f>G23*$D23</f>
        <v>63.5215870897233</v>
      </c>
      <c r="G23" s="135">
        <v>21.656612086909192</v>
      </c>
      <c r="H23" s="136">
        <f>I23*$D23</f>
        <v>1.3140407604843185</v>
      </c>
      <c r="I23" s="137">
        <v>0.448</v>
      </c>
      <c r="J23" s="137">
        <v>0.448</v>
      </c>
      <c r="K23" s="138">
        <f t="shared" si="5"/>
        <v>0</v>
      </c>
      <c r="L23" s="133">
        <v>0.008719553760605854</v>
      </c>
      <c r="M23" s="133">
        <f t="shared" si="6"/>
        <v>0.013583854653418333</v>
      </c>
      <c r="N23" s="147">
        <f t="shared" si="7"/>
        <v>73.61680653350875</v>
      </c>
      <c r="O23" s="133">
        <f t="shared" si="8"/>
        <v>0.0026058704861780784</v>
      </c>
      <c r="P23" s="4">
        <v>0.0073804365560577664</v>
      </c>
      <c r="Q23" s="14">
        <f>P23/$P$7</f>
        <v>0.009992212110841335</v>
      </c>
      <c r="R23" s="15">
        <f t="shared" si="9"/>
        <v>100.07793959007552</v>
      </c>
      <c r="S23" s="14">
        <f t="shared" si="10"/>
        <v>0.008933766471739693</v>
      </c>
      <c r="T23" s="15">
        <f t="shared" si="11"/>
        <v>0.8419539851583222</v>
      </c>
      <c r="U23" s="15">
        <f t="shared" si="0"/>
        <v>1.879361574014112</v>
      </c>
      <c r="V23" s="5">
        <v>3.6664083718870493</v>
      </c>
      <c r="W23" s="15">
        <f t="shared" si="12"/>
        <v>0.8419539851583222</v>
      </c>
      <c r="X23" s="15">
        <f t="shared" si="40"/>
        <v>1.879361574014112</v>
      </c>
      <c r="Y23" s="15">
        <f t="shared" si="13"/>
        <v>0</v>
      </c>
      <c r="Z23" s="15">
        <f t="shared" si="14"/>
        <v>0.8419539851583222</v>
      </c>
      <c r="AA23" s="15">
        <f t="shared" si="1"/>
        <v>2.538965925960157</v>
      </c>
      <c r="AB23" s="16">
        <f t="shared" si="15"/>
        <v>5.667334656161065</v>
      </c>
      <c r="AC23">
        <f t="shared" si="16"/>
        <v>0</v>
      </c>
      <c r="AD23">
        <f t="shared" si="17"/>
        <v>1.6425509506053981</v>
      </c>
      <c r="AE23">
        <f t="shared" si="18"/>
        <v>0</v>
      </c>
      <c r="AF23">
        <f t="shared" si="19"/>
        <v>0</v>
      </c>
      <c r="AG23">
        <f t="shared" si="20"/>
        <v>0</v>
      </c>
      <c r="AH23">
        <f t="shared" si="21"/>
        <v>0</v>
      </c>
      <c r="AI23">
        <f t="shared" si="22"/>
        <v>1.6425509506053981</v>
      </c>
      <c r="AJ23" s="15">
        <f t="shared" si="23"/>
        <v>0</v>
      </c>
      <c r="AK23">
        <f t="shared" si="24"/>
        <v>0</v>
      </c>
      <c r="AL23">
        <f t="shared" si="25"/>
        <v>0</v>
      </c>
      <c r="AM23">
        <f t="shared" si="26"/>
        <v>0</v>
      </c>
      <c r="AN23">
        <f t="shared" si="27"/>
        <v>1.6425509506053981</v>
      </c>
      <c r="AO23" s="15">
        <f t="shared" si="28"/>
        <v>0</v>
      </c>
      <c r="AP23">
        <f t="shared" si="29"/>
        <v>0</v>
      </c>
      <c r="AQ23">
        <f t="shared" si="30"/>
        <v>0</v>
      </c>
      <c r="AR23">
        <f t="shared" si="31"/>
        <v>0</v>
      </c>
      <c r="AS23">
        <f t="shared" si="32"/>
        <v>1.6425509506053981</v>
      </c>
      <c r="AT23" s="15">
        <f t="shared" si="33"/>
        <v>0</v>
      </c>
      <c r="AU23">
        <f t="shared" si="34"/>
        <v>0</v>
      </c>
      <c r="AV23">
        <f t="shared" si="35"/>
        <v>0</v>
      </c>
      <c r="AW23">
        <f t="shared" si="36"/>
        <v>0</v>
      </c>
      <c r="AX23">
        <f t="shared" si="37"/>
        <v>1.6425509506053981</v>
      </c>
      <c r="AY23" s="15">
        <f t="shared" si="38"/>
        <v>0</v>
      </c>
      <c r="AZ23">
        <f t="shared" si="39"/>
        <v>0</v>
      </c>
      <c r="BB23">
        <f t="shared" si="2"/>
        <v>1.6425509506053981</v>
      </c>
      <c r="BC23" s="15">
        <f t="shared" si="3"/>
        <v>0</v>
      </c>
      <c r="BD23" s="15"/>
    </row>
    <row r="24" spans="1:56" ht="12.75">
      <c r="A24" s="1" t="s">
        <v>15</v>
      </c>
      <c r="B24" s="3"/>
      <c r="C24" s="4">
        <v>0.06987430299856687</v>
      </c>
      <c r="D24" s="5"/>
      <c r="E24" s="129"/>
      <c r="F24" s="135">
        <f>SUM(F25:F27)</f>
        <v>601.3907970815214</v>
      </c>
      <c r="G24" s="128"/>
      <c r="H24" s="136">
        <f>SUM(H25:H27)</f>
        <v>14.369095301875735</v>
      </c>
      <c r="I24" s="137"/>
      <c r="J24" s="137"/>
      <c r="K24" s="138">
        <f t="shared" si="5"/>
        <v>0</v>
      </c>
      <c r="L24" s="133"/>
      <c r="M24" s="133"/>
      <c r="N24" s="147"/>
      <c r="O24" s="133"/>
      <c r="P24" s="4"/>
      <c r="Q24" s="14"/>
      <c r="R24" s="15"/>
      <c r="S24" s="14"/>
      <c r="U24" s="15"/>
      <c r="V24" s="5"/>
      <c r="Y24" s="15">
        <f t="shared" si="13"/>
        <v>0</v>
      </c>
      <c r="Z24" s="15">
        <f t="shared" si="14"/>
        <v>0</v>
      </c>
      <c r="AA24" s="15">
        <f t="shared" si="1"/>
        <v>0</v>
      </c>
      <c r="AB24" s="16">
        <f t="shared" si="15"/>
        <v>0</v>
      </c>
      <c r="AC24">
        <f t="shared" si="16"/>
        <v>0</v>
      </c>
      <c r="AD24">
        <f t="shared" si="17"/>
        <v>0</v>
      </c>
      <c r="AE24">
        <f t="shared" si="18"/>
        <v>0</v>
      </c>
      <c r="AF24">
        <f t="shared" si="19"/>
        <v>0</v>
      </c>
      <c r="AG24">
        <f t="shared" si="20"/>
        <v>0</v>
      </c>
      <c r="AH24">
        <f t="shared" si="21"/>
        <v>0</v>
      </c>
      <c r="AI24">
        <f t="shared" si="22"/>
        <v>0</v>
      </c>
      <c r="AJ24" s="15">
        <f t="shared" si="23"/>
        <v>0</v>
      </c>
      <c r="AK24">
        <f t="shared" si="24"/>
        <v>0</v>
      </c>
      <c r="AL24">
        <f t="shared" si="25"/>
        <v>0</v>
      </c>
      <c r="AM24">
        <f t="shared" si="26"/>
        <v>0</v>
      </c>
      <c r="AN24">
        <f t="shared" si="27"/>
        <v>0</v>
      </c>
      <c r="AO24" s="15">
        <f t="shared" si="28"/>
        <v>0</v>
      </c>
      <c r="AP24">
        <f t="shared" si="29"/>
        <v>0</v>
      </c>
      <c r="AQ24">
        <f t="shared" si="30"/>
        <v>0</v>
      </c>
      <c r="AR24">
        <f t="shared" si="31"/>
        <v>0</v>
      </c>
      <c r="AS24">
        <f t="shared" si="32"/>
        <v>0</v>
      </c>
      <c r="AT24" s="15">
        <f t="shared" si="33"/>
        <v>0</v>
      </c>
      <c r="AU24">
        <f t="shared" si="34"/>
        <v>0</v>
      </c>
      <c r="AV24">
        <f t="shared" si="35"/>
        <v>0</v>
      </c>
      <c r="AW24">
        <f t="shared" si="36"/>
        <v>0</v>
      </c>
      <c r="AX24">
        <f t="shared" si="37"/>
        <v>0</v>
      </c>
      <c r="AY24" s="15">
        <f t="shared" si="38"/>
        <v>0</v>
      </c>
      <c r="AZ24">
        <f t="shared" si="39"/>
        <v>0</v>
      </c>
      <c r="BB24">
        <f t="shared" si="2"/>
        <v>0</v>
      </c>
      <c r="BC24" s="15">
        <f t="shared" si="3"/>
        <v>0</v>
      </c>
      <c r="BD24" s="15">
        <f>SUM(BB25:BC27)</f>
        <v>5.870242152719901</v>
      </c>
    </row>
    <row r="25" spans="1:56" ht="12.75">
      <c r="A25" s="1" t="s">
        <v>16</v>
      </c>
      <c r="B25" s="1" t="s">
        <v>119</v>
      </c>
      <c r="C25" s="4">
        <v>0.012939648881049499</v>
      </c>
      <c r="D25" s="5">
        <v>2.2290060155810236</v>
      </c>
      <c r="E25" s="129">
        <f t="shared" si="4"/>
        <v>0.006626354668577596</v>
      </c>
      <c r="F25" s="135">
        <f>G25*$D25</f>
        <v>111.36834888627054</v>
      </c>
      <c r="G25" s="135">
        <v>49.9632338844275</v>
      </c>
      <c r="H25" s="136">
        <f>I25*$D25</f>
        <v>2.3203952622198454</v>
      </c>
      <c r="I25" s="137">
        <v>1.041</v>
      </c>
      <c r="J25" s="137">
        <v>1.041</v>
      </c>
      <c r="K25" s="138">
        <f t="shared" si="5"/>
        <v>0</v>
      </c>
      <c r="L25" s="133">
        <v>0.006626354668577596</v>
      </c>
      <c r="M25" s="133">
        <f t="shared" si="6"/>
        <v>0.010322940963632968</v>
      </c>
      <c r="N25" s="147">
        <f t="shared" si="7"/>
        <v>96.87161861362313</v>
      </c>
      <c r="O25" s="133">
        <f t="shared" si="8"/>
        <v>0.00342903888093321</v>
      </c>
      <c r="P25" s="4">
        <v>0.012939648881049499</v>
      </c>
      <c r="Q25" s="14">
        <f>P25/$P$7</f>
        <v>0.017518708449994477</v>
      </c>
      <c r="R25" s="15">
        <f t="shared" si="9"/>
        <v>57.08183356406706</v>
      </c>
      <c r="S25" s="14">
        <f t="shared" si="10"/>
        <v>0.005095586229381753</v>
      </c>
      <c r="T25" s="15">
        <f t="shared" si="11"/>
        <v>0.48022848438195015</v>
      </c>
      <c r="U25" s="15">
        <f t="shared" si="0"/>
        <v>0.461314586341931</v>
      </c>
      <c r="V25" s="5">
        <v>2.7862575194762798</v>
      </c>
      <c r="W25" s="15">
        <f t="shared" si="12"/>
        <v>0.48022848438195015</v>
      </c>
      <c r="X25" s="15">
        <f t="shared" si="40"/>
        <v>0.461314586341931</v>
      </c>
      <c r="Y25" s="15">
        <f t="shared" si="13"/>
        <v>0</v>
      </c>
      <c r="Z25" s="15">
        <f t="shared" si="14"/>
        <v>0.48022848438195015</v>
      </c>
      <c r="AA25" s="15">
        <f t="shared" si="1"/>
        <v>1.4481596144378188</v>
      </c>
      <c r="AB25" s="16">
        <f t="shared" si="15"/>
        <v>1.3911235489316225</v>
      </c>
      <c r="AC25">
        <f t="shared" si="16"/>
        <v>1.3911235489316225</v>
      </c>
      <c r="AD25">
        <f t="shared" si="17"/>
        <v>0</v>
      </c>
      <c r="AE25">
        <f t="shared" si="18"/>
        <v>1.4481596144378188</v>
      </c>
      <c r="AF25">
        <f t="shared" si="19"/>
        <v>2.547919506476693</v>
      </c>
      <c r="AG25">
        <f t="shared" si="20"/>
        <v>2.447569170486737</v>
      </c>
      <c r="AH25">
        <f t="shared" si="21"/>
        <v>2.447569170486737</v>
      </c>
      <c r="AI25">
        <f t="shared" si="22"/>
        <v>0</v>
      </c>
      <c r="AJ25" s="15">
        <f t="shared" si="23"/>
        <v>2.547919506476693</v>
      </c>
      <c r="AK25">
        <f t="shared" si="24"/>
        <v>2.879579333593395</v>
      </c>
      <c r="AL25">
        <f t="shared" si="25"/>
        <v>2.76616650681402</v>
      </c>
      <c r="AM25">
        <f t="shared" si="26"/>
        <v>2.76616650681402</v>
      </c>
      <c r="AN25">
        <f t="shared" si="27"/>
        <v>0</v>
      </c>
      <c r="AO25" s="15">
        <f t="shared" si="28"/>
        <v>2.879579333593395</v>
      </c>
      <c r="AP25">
        <f t="shared" si="29"/>
        <v>2.8972812683848694</v>
      </c>
      <c r="AQ25">
        <f t="shared" si="30"/>
        <v>2.7831712472477133</v>
      </c>
      <c r="AR25">
        <f t="shared" si="31"/>
        <v>2.7831712472477133</v>
      </c>
      <c r="AS25">
        <f t="shared" si="32"/>
        <v>0</v>
      </c>
      <c r="AT25" s="15">
        <f t="shared" si="33"/>
        <v>2.8972812683848694</v>
      </c>
      <c r="AU25">
        <f t="shared" si="34"/>
        <v>2.8972812683848685</v>
      </c>
      <c r="AV25">
        <f t="shared" si="35"/>
        <v>2.7831712472477124</v>
      </c>
      <c r="AW25">
        <f t="shared" si="36"/>
        <v>2.7831712472477124</v>
      </c>
      <c r="AX25">
        <f t="shared" si="37"/>
        <v>0</v>
      </c>
      <c r="AY25" s="15">
        <f t="shared" si="38"/>
        <v>2.8972812683848685</v>
      </c>
      <c r="AZ25">
        <f t="shared" si="39"/>
        <v>2.8972812683848685</v>
      </c>
      <c r="BB25">
        <f t="shared" si="2"/>
        <v>0</v>
      </c>
      <c r="BC25" s="15">
        <f t="shared" si="3"/>
        <v>2.8972812683848685</v>
      </c>
      <c r="BD25" s="15"/>
    </row>
    <row r="26" spans="1:56" ht="12.75">
      <c r="A26" s="1" t="s">
        <v>17</v>
      </c>
      <c r="B26" s="1" t="s">
        <v>121</v>
      </c>
      <c r="C26" s="4">
        <v>0.04174385266233051</v>
      </c>
      <c r="D26" s="5">
        <v>29.14928336422141</v>
      </c>
      <c r="E26" s="129">
        <f t="shared" si="4"/>
        <v>0.08665453953736929</v>
      </c>
      <c r="F26" s="135">
        <f>G26*$D26</f>
        <v>359.27898738921846</v>
      </c>
      <c r="G26" s="135">
        <v>12.325482685114888</v>
      </c>
      <c r="H26" s="136">
        <f>I26*$D26</f>
        <v>10.38880459100851</v>
      </c>
      <c r="I26" s="137">
        <v>0.3564</v>
      </c>
      <c r="J26" s="137">
        <v>0.3564</v>
      </c>
      <c r="K26" s="138">
        <f t="shared" si="5"/>
        <v>0</v>
      </c>
      <c r="L26" s="133">
        <v>0.08665453953736929</v>
      </c>
      <c r="M26" s="133">
        <f t="shared" si="6"/>
        <v>0.13499574662324565</v>
      </c>
      <c r="N26" s="147">
        <f t="shared" si="7"/>
        <v>7.407640796201238</v>
      </c>
      <c r="O26" s="133">
        <f t="shared" si="8"/>
        <v>0.0002622139349965286</v>
      </c>
      <c r="P26" s="4">
        <v>0.04174385266233051</v>
      </c>
      <c r="Q26" s="14">
        <f>P26/$P$7</f>
        <v>0.05651609182702803</v>
      </c>
      <c r="R26" s="15">
        <f t="shared" si="9"/>
        <v>17.694075575157942</v>
      </c>
      <c r="S26" s="14">
        <f t="shared" si="10"/>
        <v>0.001579516322670677</v>
      </c>
      <c r="T26" s="15">
        <f t="shared" si="11"/>
        <v>0.14885995360434176</v>
      </c>
      <c r="U26" s="15">
        <f t="shared" si="0"/>
        <v>0.4176766374981531</v>
      </c>
      <c r="V26" s="5">
        <v>36.436604205276765</v>
      </c>
      <c r="W26" s="15">
        <f t="shared" si="12"/>
        <v>0.14885995360434176</v>
      </c>
      <c r="X26" s="15">
        <f t="shared" si="40"/>
        <v>0.4176766374981531</v>
      </c>
      <c r="Y26" s="15">
        <f t="shared" si="13"/>
        <v>0</v>
      </c>
      <c r="Z26" s="15">
        <f t="shared" si="14"/>
        <v>0.14885995360434176</v>
      </c>
      <c r="AA26" s="15">
        <f t="shared" si="1"/>
        <v>0.44889668153344897</v>
      </c>
      <c r="AB26" s="16">
        <f t="shared" si="15"/>
        <v>1.2595305317998007</v>
      </c>
      <c r="AC26">
        <f t="shared" si="16"/>
        <v>1.2595305317998007</v>
      </c>
      <c r="AD26">
        <f t="shared" si="17"/>
        <v>0</v>
      </c>
      <c r="AE26">
        <f t="shared" si="18"/>
        <v>0.44889668153344897</v>
      </c>
      <c r="AF26">
        <f t="shared" si="19"/>
        <v>0.7897973399263309</v>
      </c>
      <c r="AG26">
        <f t="shared" si="20"/>
        <v>2.216041918985216</v>
      </c>
      <c r="AH26">
        <f t="shared" si="21"/>
        <v>2.216041918985216</v>
      </c>
      <c r="AI26">
        <f t="shared" si="22"/>
        <v>0</v>
      </c>
      <c r="AJ26" s="15">
        <f t="shared" si="23"/>
        <v>0.7897973399263309</v>
      </c>
      <c r="AK26">
        <f t="shared" si="24"/>
        <v>0.89260437466638</v>
      </c>
      <c r="AL26">
        <f t="shared" si="25"/>
        <v>2.504501612419697</v>
      </c>
      <c r="AM26">
        <f t="shared" si="26"/>
        <v>2.504501612419697</v>
      </c>
      <c r="AN26">
        <f t="shared" si="27"/>
        <v>0</v>
      </c>
      <c r="AO26" s="15">
        <f t="shared" si="28"/>
        <v>0.89260437466638</v>
      </c>
      <c r="AP26">
        <f t="shared" si="29"/>
        <v>0.8980915735258092</v>
      </c>
      <c r="AQ26">
        <f t="shared" si="30"/>
        <v>2.519897793282293</v>
      </c>
      <c r="AR26">
        <f t="shared" si="31"/>
        <v>2.519897793282293</v>
      </c>
      <c r="AS26">
        <f t="shared" si="32"/>
        <v>0</v>
      </c>
      <c r="AT26" s="15">
        <f t="shared" si="33"/>
        <v>0.8980915735258093</v>
      </c>
      <c r="AU26">
        <f t="shared" si="34"/>
        <v>0.8980915735258089</v>
      </c>
      <c r="AV26">
        <f t="shared" si="35"/>
        <v>2.519897793282292</v>
      </c>
      <c r="AW26">
        <f t="shared" si="36"/>
        <v>2.519897793282292</v>
      </c>
      <c r="AX26">
        <f t="shared" si="37"/>
        <v>0</v>
      </c>
      <c r="AY26" s="15">
        <f t="shared" si="38"/>
        <v>0.8980915735258089</v>
      </c>
      <c r="AZ26">
        <f t="shared" si="39"/>
        <v>0.8980915735258089</v>
      </c>
      <c r="BB26">
        <f t="shared" si="2"/>
        <v>0</v>
      </c>
      <c r="BC26" s="15">
        <f t="shared" si="3"/>
        <v>0.8980915735258089</v>
      </c>
      <c r="BD26" s="15"/>
    </row>
    <row r="27" spans="1:56" ht="12.75">
      <c r="A27" s="1" t="s">
        <v>18</v>
      </c>
      <c r="B27" s="1" t="s">
        <v>119</v>
      </c>
      <c r="C27" s="4">
        <v>0.015190801455186859</v>
      </c>
      <c r="D27" s="5">
        <v>0.9706990927762448</v>
      </c>
      <c r="E27" s="129">
        <f t="shared" si="4"/>
        <v>0.0028856792759822405</v>
      </c>
      <c r="F27" s="135">
        <f>G27*$D27</f>
        <v>130.7434608060324</v>
      </c>
      <c r="G27" s="135">
        <v>134.69</v>
      </c>
      <c r="H27" s="136">
        <f>I27*$D27</f>
        <v>1.6598954486473785</v>
      </c>
      <c r="I27" s="137">
        <v>1.71</v>
      </c>
      <c r="J27" s="137">
        <v>1.71</v>
      </c>
      <c r="K27" s="138">
        <f t="shared" si="5"/>
        <v>0</v>
      </c>
      <c r="L27" s="133">
        <v>0.0028856792759822405</v>
      </c>
      <c r="M27" s="133">
        <f t="shared" si="6"/>
        <v>0.0044954878354463625</v>
      </c>
      <c r="N27" s="147">
        <f t="shared" si="7"/>
        <v>222.4452688126802</v>
      </c>
      <c r="O27" s="133">
        <f t="shared" si="8"/>
        <v>0.007874065557639507</v>
      </c>
      <c r="P27" s="4">
        <v>0.015190801455186859</v>
      </c>
      <c r="Q27" s="14">
        <f>P27/$P$7</f>
        <v>0.020566494830081192</v>
      </c>
      <c r="R27" s="15">
        <f t="shared" si="9"/>
        <v>48.622772536687634</v>
      </c>
      <c r="S27" s="14">
        <f t="shared" si="10"/>
        <v>0.004340462012213153</v>
      </c>
      <c r="T27" s="15">
        <f t="shared" si="11"/>
        <v>0.40906254939295844</v>
      </c>
      <c r="U27" s="15">
        <f t="shared" si="0"/>
        <v>0.23921786514208096</v>
      </c>
      <c r="V27" s="5">
        <v>1.213373865970306</v>
      </c>
      <c r="W27" s="15">
        <f t="shared" si="12"/>
        <v>0.40906254939295844</v>
      </c>
      <c r="X27" s="15">
        <f t="shared" si="40"/>
        <v>0.23921786514208096</v>
      </c>
      <c r="Y27" s="15">
        <f t="shared" si="13"/>
        <v>0</v>
      </c>
      <c r="Z27" s="15">
        <f t="shared" si="14"/>
        <v>0.40906254939295844</v>
      </c>
      <c r="AA27" s="15">
        <f t="shared" si="1"/>
        <v>1.2335541998768689</v>
      </c>
      <c r="AB27" s="16">
        <f t="shared" si="15"/>
        <v>0.7213767250741924</v>
      </c>
      <c r="AC27">
        <f t="shared" si="16"/>
        <v>0.7213767250741924</v>
      </c>
      <c r="AD27">
        <f t="shared" si="17"/>
        <v>0</v>
      </c>
      <c r="AE27">
        <f t="shared" si="18"/>
        <v>1.2335541998768689</v>
      </c>
      <c r="AF27">
        <f t="shared" si="19"/>
        <v>2.1703386676631267</v>
      </c>
      <c r="AG27">
        <f t="shared" si="20"/>
        <v>1.2692038992182026</v>
      </c>
      <c r="AH27">
        <f t="shared" si="21"/>
        <v>0</v>
      </c>
      <c r="AI27">
        <f t="shared" si="22"/>
        <v>2.0748693108092233</v>
      </c>
      <c r="AJ27" s="15">
        <f t="shared" si="23"/>
        <v>0</v>
      </c>
      <c r="AK27">
        <f t="shared" si="24"/>
        <v>0</v>
      </c>
      <c r="AL27">
        <f t="shared" si="25"/>
        <v>0</v>
      </c>
      <c r="AM27">
        <f t="shared" si="26"/>
        <v>0</v>
      </c>
      <c r="AN27">
        <f t="shared" si="27"/>
        <v>2.0748693108092233</v>
      </c>
      <c r="AO27" s="15">
        <f t="shared" si="28"/>
        <v>0</v>
      </c>
      <c r="AP27">
        <f t="shared" si="29"/>
        <v>0</v>
      </c>
      <c r="AQ27">
        <f t="shared" si="30"/>
        <v>0</v>
      </c>
      <c r="AR27">
        <f t="shared" si="31"/>
        <v>0</v>
      </c>
      <c r="AS27">
        <f t="shared" si="32"/>
        <v>2.0748693108092233</v>
      </c>
      <c r="AT27" s="15">
        <f t="shared" si="33"/>
        <v>0</v>
      </c>
      <c r="AU27">
        <f t="shared" si="34"/>
        <v>0</v>
      </c>
      <c r="AV27">
        <f t="shared" si="35"/>
        <v>0</v>
      </c>
      <c r="AW27">
        <f t="shared" si="36"/>
        <v>0</v>
      </c>
      <c r="AX27">
        <f t="shared" si="37"/>
        <v>2.0748693108092233</v>
      </c>
      <c r="AY27" s="15">
        <f t="shared" si="38"/>
        <v>0</v>
      </c>
      <c r="AZ27">
        <f t="shared" si="39"/>
        <v>0</v>
      </c>
      <c r="BB27">
        <f t="shared" si="2"/>
        <v>2.0748693108092233</v>
      </c>
      <c r="BC27" s="15">
        <f t="shared" si="3"/>
        <v>0</v>
      </c>
      <c r="BD27" s="15"/>
    </row>
    <row r="28" spans="1:56" ht="12.75">
      <c r="A28" s="1" t="s">
        <v>19</v>
      </c>
      <c r="B28" s="3"/>
      <c r="C28" s="4">
        <v>0.031115068625289385</v>
      </c>
      <c r="D28" s="5"/>
      <c r="E28" s="129"/>
      <c r="F28" s="135">
        <f>SUM(F29:F35)</f>
        <v>267.7996791208467</v>
      </c>
      <c r="G28" s="128"/>
      <c r="H28" s="136">
        <f>SUM(H29:H35)</f>
        <v>6.022754007744842</v>
      </c>
      <c r="I28" s="137"/>
      <c r="J28" s="137"/>
      <c r="K28" s="138">
        <f t="shared" si="5"/>
        <v>0</v>
      </c>
      <c r="L28" s="133"/>
      <c r="M28" s="133"/>
      <c r="N28" s="147"/>
      <c r="O28" s="133"/>
      <c r="P28" s="4"/>
      <c r="Q28" s="14"/>
      <c r="R28" s="15"/>
      <c r="S28" s="14"/>
      <c r="U28" s="15"/>
      <c r="V28" s="5"/>
      <c r="Y28" s="15">
        <f t="shared" si="13"/>
        <v>0</v>
      </c>
      <c r="Z28" s="15">
        <f t="shared" si="14"/>
        <v>0</v>
      </c>
      <c r="AA28" s="15">
        <f t="shared" si="1"/>
        <v>0</v>
      </c>
      <c r="AB28" s="16">
        <f t="shared" si="15"/>
        <v>0</v>
      </c>
      <c r="AC28">
        <f t="shared" si="16"/>
        <v>0</v>
      </c>
      <c r="AD28">
        <f t="shared" si="17"/>
        <v>0</v>
      </c>
      <c r="AE28">
        <f t="shared" si="18"/>
        <v>0</v>
      </c>
      <c r="AF28">
        <f t="shared" si="19"/>
        <v>0</v>
      </c>
      <c r="AG28">
        <f t="shared" si="20"/>
        <v>0</v>
      </c>
      <c r="AH28">
        <f t="shared" si="21"/>
        <v>0</v>
      </c>
      <c r="AI28">
        <f t="shared" si="22"/>
        <v>0</v>
      </c>
      <c r="AJ28" s="15">
        <f t="shared" si="23"/>
        <v>0</v>
      </c>
      <c r="AK28">
        <f t="shared" si="24"/>
        <v>0</v>
      </c>
      <c r="AL28">
        <f t="shared" si="25"/>
        <v>0</v>
      </c>
      <c r="AM28">
        <f t="shared" si="26"/>
        <v>0</v>
      </c>
      <c r="AN28">
        <f t="shared" si="27"/>
        <v>0</v>
      </c>
      <c r="AO28" s="15">
        <f t="shared" si="28"/>
        <v>0</v>
      </c>
      <c r="AP28">
        <f t="shared" si="29"/>
        <v>0</v>
      </c>
      <c r="AQ28">
        <f t="shared" si="30"/>
        <v>0</v>
      </c>
      <c r="AR28">
        <f t="shared" si="31"/>
        <v>0</v>
      </c>
      <c r="AS28">
        <f t="shared" si="32"/>
        <v>0</v>
      </c>
      <c r="AT28" s="15">
        <f t="shared" si="33"/>
        <v>0</v>
      </c>
      <c r="AU28">
        <f t="shared" si="34"/>
        <v>0</v>
      </c>
      <c r="AV28">
        <f t="shared" si="35"/>
        <v>0</v>
      </c>
      <c r="AW28">
        <f t="shared" si="36"/>
        <v>0</v>
      </c>
      <c r="AX28">
        <f t="shared" si="37"/>
        <v>0</v>
      </c>
      <c r="AY28" s="15">
        <f t="shared" si="38"/>
        <v>0</v>
      </c>
      <c r="AZ28">
        <f t="shared" si="39"/>
        <v>0</v>
      </c>
      <c r="BB28">
        <f t="shared" si="2"/>
        <v>0</v>
      </c>
      <c r="BC28" s="15">
        <f t="shared" si="3"/>
        <v>0</v>
      </c>
      <c r="BD28" s="15">
        <f>SUM(BB29:BC35)</f>
        <v>7.528442509681053</v>
      </c>
    </row>
    <row r="29" spans="1:56" ht="12.75">
      <c r="A29" s="1" t="s">
        <v>20</v>
      </c>
      <c r="B29" s="1" t="s">
        <v>119</v>
      </c>
      <c r="C29" s="4">
        <v>0.004960099217285856</v>
      </c>
      <c r="D29" s="5">
        <v>0.6276992391991798</v>
      </c>
      <c r="E29" s="129">
        <f t="shared" si="4"/>
        <v>0.0018660146069843118</v>
      </c>
      <c r="F29" s="135">
        <f aca="true" t="shared" si="41" ref="F29:F35">G29*$D29</f>
        <v>42.69034385857348</v>
      </c>
      <c r="G29" s="135">
        <v>68.01082619287212</v>
      </c>
      <c r="H29" s="136">
        <f aca="true" t="shared" si="42" ref="H29:H35">I29*$D29</f>
        <v>1.4293967075043723</v>
      </c>
      <c r="I29" s="137">
        <v>2.2772</v>
      </c>
      <c r="J29" s="137">
        <v>2.2772</v>
      </c>
      <c r="K29" s="138">
        <f t="shared" si="5"/>
        <v>0</v>
      </c>
      <c r="L29" s="133">
        <v>0.0018660146069843118</v>
      </c>
      <c r="M29" s="133">
        <f t="shared" si="6"/>
        <v>0.002906991790904356</v>
      </c>
      <c r="N29" s="147">
        <f t="shared" si="7"/>
        <v>343.9982194407584</v>
      </c>
      <c r="O29" s="133">
        <f t="shared" si="8"/>
        <v>0.012176768452057944</v>
      </c>
      <c r="P29" s="4">
        <v>0.004960099217285856</v>
      </c>
      <c r="Q29" s="14">
        <f aca="true" t="shared" si="43" ref="Q29:Q35">P29/$P$7</f>
        <v>0.006715370167264457</v>
      </c>
      <c r="R29" s="15">
        <f aca="true" t="shared" si="44" ref="R29:R42">1/Q29</f>
        <v>148.9121187800963</v>
      </c>
      <c r="S29" s="14">
        <f aca="true" t="shared" si="45" ref="S29:S42">R29/$R$7</f>
        <v>0.013293100352010746</v>
      </c>
      <c r="T29" s="15">
        <f aca="true" t="shared" si="46" ref="T29:T42">S29*$T$7</f>
        <v>1.2527950950911149</v>
      </c>
      <c r="U29" s="15">
        <f aca="true" t="shared" si="47" ref="U29:U42">T29/J29</f>
        <v>0.5501471522444734</v>
      </c>
      <c r="V29" s="5">
        <v>0.7846240489989748</v>
      </c>
      <c r="W29" s="15">
        <f aca="true" t="shared" si="48" ref="W29:W42">IF(U29&lt;V29,U29*I29,0)</f>
        <v>1.2527950950911149</v>
      </c>
      <c r="X29" s="15">
        <f aca="true" t="shared" si="49" ref="X29:X42">IF(U29&lt;V29,U19:U29,0)</f>
        <v>0.5501471522444734</v>
      </c>
      <c r="Y29" s="15">
        <f t="shared" si="13"/>
        <v>0</v>
      </c>
      <c r="Z29" s="15">
        <f t="shared" si="14"/>
        <v>1.2527950950911149</v>
      </c>
      <c r="AA29" s="15">
        <f t="shared" si="1"/>
        <v>3.7778834885474564</v>
      </c>
      <c r="AB29" s="16">
        <f t="shared" si="15"/>
        <v>1.659003815452071</v>
      </c>
      <c r="AC29">
        <f t="shared" si="16"/>
        <v>0</v>
      </c>
      <c r="AD29">
        <f t="shared" si="17"/>
        <v>1.7867458843804653</v>
      </c>
      <c r="AE29">
        <f t="shared" si="18"/>
        <v>0</v>
      </c>
      <c r="AF29">
        <f t="shared" si="19"/>
        <v>0</v>
      </c>
      <c r="AG29">
        <f t="shared" si="20"/>
        <v>0</v>
      </c>
      <c r="AH29">
        <f t="shared" si="21"/>
        <v>0</v>
      </c>
      <c r="AI29">
        <f t="shared" si="22"/>
        <v>1.7867458843804653</v>
      </c>
      <c r="AJ29" s="15">
        <f t="shared" si="23"/>
        <v>0</v>
      </c>
      <c r="AK29">
        <f t="shared" si="24"/>
        <v>0</v>
      </c>
      <c r="AL29">
        <f t="shared" si="25"/>
        <v>0</v>
      </c>
      <c r="AM29">
        <f t="shared" si="26"/>
        <v>0</v>
      </c>
      <c r="AN29">
        <f t="shared" si="27"/>
        <v>1.7867458843804653</v>
      </c>
      <c r="AO29" s="15">
        <f t="shared" si="28"/>
        <v>0</v>
      </c>
      <c r="AP29">
        <f t="shared" si="29"/>
        <v>0</v>
      </c>
      <c r="AQ29">
        <f t="shared" si="30"/>
        <v>0</v>
      </c>
      <c r="AR29">
        <f t="shared" si="31"/>
        <v>0</v>
      </c>
      <c r="AS29">
        <f t="shared" si="32"/>
        <v>1.7867458843804653</v>
      </c>
      <c r="AT29" s="15">
        <f t="shared" si="33"/>
        <v>0</v>
      </c>
      <c r="AU29">
        <f t="shared" si="34"/>
        <v>0</v>
      </c>
      <c r="AV29">
        <f t="shared" si="35"/>
        <v>0</v>
      </c>
      <c r="AW29">
        <f t="shared" si="36"/>
        <v>0</v>
      </c>
      <c r="AX29">
        <f t="shared" si="37"/>
        <v>1.7867458843804653</v>
      </c>
      <c r="AY29" s="15">
        <f t="shared" si="38"/>
        <v>0</v>
      </c>
      <c r="AZ29">
        <f t="shared" si="39"/>
        <v>0</v>
      </c>
      <c r="BB29">
        <f t="shared" si="2"/>
        <v>1.7867458843804653</v>
      </c>
      <c r="BC29" s="15">
        <f t="shared" si="3"/>
        <v>0</v>
      </c>
      <c r="BD29" s="15"/>
    </row>
    <row r="30" spans="1:56" ht="12.75">
      <c r="A30" s="1" t="s">
        <v>21</v>
      </c>
      <c r="B30" s="1" t="s">
        <v>123</v>
      </c>
      <c r="C30" s="4">
        <v>0.002267075846102966</v>
      </c>
      <c r="D30" s="5">
        <v>0.7816105582277685</v>
      </c>
      <c r="E30" s="129">
        <f t="shared" si="4"/>
        <v>0.0023235597998922724</v>
      </c>
      <c r="F30" s="135">
        <f t="shared" si="41"/>
        <v>19.512159572598396</v>
      </c>
      <c r="G30" s="135">
        <v>24.9640429843226</v>
      </c>
      <c r="H30" s="136">
        <f t="shared" si="42"/>
        <v>0.2292463767282045</v>
      </c>
      <c r="I30" s="137">
        <v>0.2933</v>
      </c>
      <c r="J30" s="137">
        <v>0.2933</v>
      </c>
      <c r="K30" s="138">
        <f t="shared" si="5"/>
        <v>0</v>
      </c>
      <c r="L30" s="133">
        <v>0.0023235597998922724</v>
      </c>
      <c r="M30" s="133">
        <f t="shared" si="6"/>
        <v>0.003619783703021673</v>
      </c>
      <c r="N30" s="147">
        <f t="shared" si="7"/>
        <v>276.2596005847625</v>
      </c>
      <c r="O30" s="133">
        <f t="shared" si="8"/>
        <v>0.009778972677380343</v>
      </c>
      <c r="P30" s="4">
        <v>0.002267075846102966</v>
      </c>
      <c r="Q30" s="14">
        <f t="shared" si="43"/>
        <v>0.003069344550768145</v>
      </c>
      <c r="R30" s="15">
        <f t="shared" si="44"/>
        <v>325.80245829675147</v>
      </c>
      <c r="S30" s="14">
        <f t="shared" si="45"/>
        <v>0.02908376301774431</v>
      </c>
      <c r="T30" s="15">
        <f t="shared" si="46"/>
        <v>2.7409704802169075</v>
      </c>
      <c r="U30" s="15">
        <f t="shared" si="47"/>
        <v>9.34527950977466</v>
      </c>
      <c r="V30" s="5">
        <v>0.9770131977847106</v>
      </c>
      <c r="W30" s="15">
        <f t="shared" si="48"/>
        <v>0</v>
      </c>
      <c r="X30" s="15">
        <f t="shared" si="49"/>
        <v>0</v>
      </c>
      <c r="Y30" s="15">
        <f t="shared" si="13"/>
        <v>0.28655797091025564</v>
      </c>
      <c r="Z30" s="15">
        <f t="shared" si="14"/>
        <v>0</v>
      </c>
      <c r="AA30" s="15">
        <f t="shared" si="1"/>
        <v>0</v>
      </c>
      <c r="AB30" s="16">
        <f t="shared" si="15"/>
        <v>0</v>
      </c>
      <c r="AC30">
        <f t="shared" si="16"/>
        <v>0</v>
      </c>
      <c r="AD30">
        <f t="shared" si="17"/>
        <v>0.28655797091025564</v>
      </c>
      <c r="AE30">
        <f t="shared" si="18"/>
        <v>0</v>
      </c>
      <c r="AF30">
        <f t="shared" si="19"/>
        <v>0</v>
      </c>
      <c r="AG30">
        <f t="shared" si="20"/>
        <v>0</v>
      </c>
      <c r="AH30">
        <f t="shared" si="21"/>
        <v>0</v>
      </c>
      <c r="AI30">
        <f t="shared" si="22"/>
        <v>0.28655797091025564</v>
      </c>
      <c r="AJ30" s="15">
        <f t="shared" si="23"/>
        <v>0</v>
      </c>
      <c r="AK30">
        <f t="shared" si="24"/>
        <v>0</v>
      </c>
      <c r="AL30">
        <f t="shared" si="25"/>
        <v>0</v>
      </c>
      <c r="AM30">
        <f t="shared" si="26"/>
        <v>0</v>
      </c>
      <c r="AN30">
        <f t="shared" si="27"/>
        <v>0.28655797091025564</v>
      </c>
      <c r="AO30" s="15">
        <f t="shared" si="28"/>
        <v>0</v>
      </c>
      <c r="AP30">
        <f t="shared" si="29"/>
        <v>0</v>
      </c>
      <c r="AQ30">
        <f t="shared" si="30"/>
        <v>0</v>
      </c>
      <c r="AR30">
        <f t="shared" si="31"/>
        <v>0</v>
      </c>
      <c r="AS30">
        <f t="shared" si="32"/>
        <v>0.28655797091025564</v>
      </c>
      <c r="AT30" s="15">
        <f t="shared" si="33"/>
        <v>0</v>
      </c>
      <c r="AU30">
        <f t="shared" si="34"/>
        <v>0</v>
      </c>
      <c r="AV30">
        <f t="shared" si="35"/>
        <v>0</v>
      </c>
      <c r="AW30">
        <f t="shared" si="36"/>
        <v>0</v>
      </c>
      <c r="AX30">
        <f t="shared" si="37"/>
        <v>0.28655797091025564</v>
      </c>
      <c r="AY30" s="15">
        <f t="shared" si="38"/>
        <v>0</v>
      </c>
      <c r="AZ30">
        <f t="shared" si="39"/>
        <v>0</v>
      </c>
      <c r="BB30">
        <f t="shared" si="2"/>
        <v>0.28655797091025564</v>
      </c>
      <c r="BC30" s="15">
        <f t="shared" si="3"/>
        <v>0</v>
      </c>
      <c r="BD30" s="15"/>
    </row>
    <row r="31" spans="1:56" ht="12.75">
      <c r="A31" s="1" t="s">
        <v>22</v>
      </c>
      <c r="B31" s="1" t="s">
        <v>123</v>
      </c>
      <c r="C31" s="4">
        <v>0.007893962076948518</v>
      </c>
      <c r="D31" s="5">
        <v>3.6332391662468217</v>
      </c>
      <c r="E31" s="129">
        <f t="shared" si="4"/>
        <v>0.010800837298343073</v>
      </c>
      <c r="F31" s="135">
        <f t="shared" si="41"/>
        <v>67.9413738937008</v>
      </c>
      <c r="G31" s="135">
        <v>18.699945361396352</v>
      </c>
      <c r="H31" s="136">
        <f t="shared" si="42"/>
        <v>1.4267730205851268</v>
      </c>
      <c r="I31" s="137">
        <v>0.3927</v>
      </c>
      <c r="J31" s="137">
        <v>0.3927</v>
      </c>
      <c r="K31" s="138">
        <f t="shared" si="5"/>
        <v>0</v>
      </c>
      <c r="L31" s="133">
        <v>0.010800837298343073</v>
      </c>
      <c r="M31" s="133">
        <f t="shared" si="6"/>
        <v>0.016826205563266992</v>
      </c>
      <c r="N31" s="147">
        <f t="shared" si="7"/>
        <v>59.43110561914703</v>
      </c>
      <c r="O31" s="133">
        <f t="shared" si="8"/>
        <v>0.0021037283656602803</v>
      </c>
      <c r="P31" s="4">
        <v>0.007893962076948518</v>
      </c>
      <c r="Q31" s="14">
        <f t="shared" si="43"/>
        <v>0.01068746311531735</v>
      </c>
      <c r="R31" s="15">
        <f t="shared" si="44"/>
        <v>93.5675743822491</v>
      </c>
      <c r="S31" s="14">
        <f t="shared" si="45"/>
        <v>0.008352598607466157</v>
      </c>
      <c r="T31" s="15">
        <f t="shared" si="46"/>
        <v>0.7871823945958291</v>
      </c>
      <c r="U31" s="15">
        <f t="shared" si="47"/>
        <v>2.004538819953728</v>
      </c>
      <c r="V31" s="5">
        <v>4.541548957808527</v>
      </c>
      <c r="W31" s="15">
        <f t="shared" si="48"/>
        <v>0.7871823945958291</v>
      </c>
      <c r="X31" s="15">
        <f t="shared" si="49"/>
        <v>2.004538819953728</v>
      </c>
      <c r="Y31" s="15">
        <f t="shared" si="13"/>
        <v>0</v>
      </c>
      <c r="Z31" s="15">
        <f t="shared" si="14"/>
        <v>0.7871823945958291</v>
      </c>
      <c r="AA31" s="15">
        <f t="shared" si="1"/>
        <v>2.373798702334912</v>
      </c>
      <c r="AB31" s="16">
        <f t="shared" si="15"/>
        <v>6.044814622701583</v>
      </c>
      <c r="AC31">
        <f t="shared" si="16"/>
        <v>0</v>
      </c>
      <c r="AD31">
        <f t="shared" si="17"/>
        <v>1.7834662757314086</v>
      </c>
      <c r="AE31">
        <f t="shared" si="18"/>
        <v>0</v>
      </c>
      <c r="AF31">
        <f t="shared" si="19"/>
        <v>0</v>
      </c>
      <c r="AG31">
        <f t="shared" si="20"/>
        <v>0</v>
      </c>
      <c r="AH31">
        <f t="shared" si="21"/>
        <v>0</v>
      </c>
      <c r="AI31">
        <f t="shared" si="22"/>
        <v>1.7834662757314086</v>
      </c>
      <c r="AJ31" s="15">
        <f t="shared" si="23"/>
        <v>0</v>
      </c>
      <c r="AK31">
        <f t="shared" si="24"/>
        <v>0</v>
      </c>
      <c r="AL31">
        <f t="shared" si="25"/>
        <v>0</v>
      </c>
      <c r="AM31">
        <f t="shared" si="26"/>
        <v>0</v>
      </c>
      <c r="AN31">
        <f t="shared" si="27"/>
        <v>1.7834662757314086</v>
      </c>
      <c r="AO31" s="15">
        <f t="shared" si="28"/>
        <v>0</v>
      </c>
      <c r="AP31">
        <f t="shared" si="29"/>
        <v>0</v>
      </c>
      <c r="AQ31">
        <f t="shared" si="30"/>
        <v>0</v>
      </c>
      <c r="AR31">
        <f t="shared" si="31"/>
        <v>0</v>
      </c>
      <c r="AS31">
        <f t="shared" si="32"/>
        <v>1.7834662757314086</v>
      </c>
      <c r="AT31" s="15">
        <f t="shared" si="33"/>
        <v>0</v>
      </c>
      <c r="AU31">
        <f t="shared" si="34"/>
        <v>0</v>
      </c>
      <c r="AV31">
        <f t="shared" si="35"/>
        <v>0</v>
      </c>
      <c r="AW31">
        <f t="shared" si="36"/>
        <v>0</v>
      </c>
      <c r="AX31">
        <f t="shared" si="37"/>
        <v>1.7834662757314086</v>
      </c>
      <c r="AY31" s="15">
        <f t="shared" si="38"/>
        <v>0</v>
      </c>
      <c r="AZ31">
        <f t="shared" si="39"/>
        <v>0</v>
      </c>
      <c r="BB31">
        <f t="shared" si="2"/>
        <v>1.7834662757314086</v>
      </c>
      <c r="BC31" s="15">
        <f t="shared" si="3"/>
        <v>0</v>
      </c>
      <c r="BD31" s="15"/>
    </row>
    <row r="32" spans="1:56" ht="12.75">
      <c r="A32" s="1" t="s">
        <v>23</v>
      </c>
      <c r="B32" s="1" t="s">
        <v>119</v>
      </c>
      <c r="C32" s="4">
        <v>0.002318826479991181</v>
      </c>
      <c r="D32" s="5">
        <v>0.674380234854155</v>
      </c>
      <c r="E32" s="129">
        <f t="shared" si="4"/>
        <v>0.002004787150140309</v>
      </c>
      <c r="F32" s="135">
        <f t="shared" si="41"/>
        <v>19.957564444317057</v>
      </c>
      <c r="G32" s="135">
        <v>29.59393441985023</v>
      </c>
      <c r="H32" s="136">
        <f t="shared" si="42"/>
        <v>0.3709091291697853</v>
      </c>
      <c r="I32" s="137">
        <v>0.55</v>
      </c>
      <c r="J32" s="137">
        <v>0.55</v>
      </c>
      <c r="K32" s="138">
        <f t="shared" si="5"/>
        <v>0</v>
      </c>
      <c r="L32" s="133">
        <v>0.002004787150140309</v>
      </c>
      <c r="M32" s="133">
        <f t="shared" si="6"/>
        <v>0.0031231801541934095</v>
      </c>
      <c r="N32" s="147">
        <f t="shared" si="7"/>
        <v>320.18646079616224</v>
      </c>
      <c r="O32" s="133">
        <f t="shared" si="8"/>
        <v>0.011333885393177836</v>
      </c>
      <c r="P32" s="4">
        <v>0.002318826479991181</v>
      </c>
      <c r="Q32" s="14">
        <f t="shared" si="43"/>
        <v>0.003139408605482782</v>
      </c>
      <c r="R32" s="15">
        <f t="shared" si="44"/>
        <v>318.531330472103</v>
      </c>
      <c r="S32" s="14">
        <f t="shared" si="45"/>
        <v>0.02843468332807792</v>
      </c>
      <c r="T32" s="15">
        <f t="shared" si="46"/>
        <v>2.6797986068386765</v>
      </c>
      <c r="U32" s="15">
        <f t="shared" si="47"/>
        <v>4.872361103343048</v>
      </c>
      <c r="V32" s="5">
        <v>0.8429752935676937</v>
      </c>
      <c r="W32" s="15">
        <f t="shared" si="48"/>
        <v>0</v>
      </c>
      <c r="X32" s="15">
        <f t="shared" si="49"/>
        <v>0</v>
      </c>
      <c r="Y32" s="15">
        <f t="shared" si="13"/>
        <v>0.4636364114622316</v>
      </c>
      <c r="Z32" s="15">
        <f t="shared" si="14"/>
        <v>0</v>
      </c>
      <c r="AA32" s="15">
        <f t="shared" si="1"/>
        <v>0</v>
      </c>
      <c r="AB32" s="16">
        <f t="shared" si="15"/>
        <v>0</v>
      </c>
      <c r="AC32">
        <f t="shared" si="16"/>
        <v>0</v>
      </c>
      <c r="AD32">
        <f t="shared" si="17"/>
        <v>0.4636364114622316</v>
      </c>
      <c r="AE32">
        <f t="shared" si="18"/>
        <v>0</v>
      </c>
      <c r="AF32">
        <f t="shared" si="19"/>
        <v>0</v>
      </c>
      <c r="AG32">
        <f t="shared" si="20"/>
        <v>0</v>
      </c>
      <c r="AH32">
        <f t="shared" si="21"/>
        <v>0</v>
      </c>
      <c r="AI32">
        <f t="shared" si="22"/>
        <v>0.4636364114622316</v>
      </c>
      <c r="AJ32" s="15">
        <f t="shared" si="23"/>
        <v>0</v>
      </c>
      <c r="AK32">
        <f t="shared" si="24"/>
        <v>0</v>
      </c>
      <c r="AL32">
        <f t="shared" si="25"/>
        <v>0</v>
      </c>
      <c r="AM32">
        <f t="shared" si="26"/>
        <v>0</v>
      </c>
      <c r="AN32">
        <f t="shared" si="27"/>
        <v>0.4636364114622316</v>
      </c>
      <c r="AO32" s="15">
        <f t="shared" si="28"/>
        <v>0</v>
      </c>
      <c r="AP32">
        <f t="shared" si="29"/>
        <v>0</v>
      </c>
      <c r="AQ32">
        <f t="shared" si="30"/>
        <v>0</v>
      </c>
      <c r="AR32">
        <f t="shared" si="31"/>
        <v>0</v>
      </c>
      <c r="AS32">
        <f t="shared" si="32"/>
        <v>0.4636364114622316</v>
      </c>
      <c r="AT32" s="15">
        <f t="shared" si="33"/>
        <v>0</v>
      </c>
      <c r="AU32">
        <f t="shared" si="34"/>
        <v>0</v>
      </c>
      <c r="AV32">
        <f t="shared" si="35"/>
        <v>0</v>
      </c>
      <c r="AW32">
        <f t="shared" si="36"/>
        <v>0</v>
      </c>
      <c r="AX32">
        <f t="shared" si="37"/>
        <v>0.4636364114622316</v>
      </c>
      <c r="AY32" s="15">
        <f t="shared" si="38"/>
        <v>0</v>
      </c>
      <c r="AZ32">
        <f t="shared" si="39"/>
        <v>0</v>
      </c>
      <c r="BB32">
        <f t="shared" si="2"/>
        <v>0.4636364114622316</v>
      </c>
      <c r="BC32" s="15">
        <f t="shared" si="3"/>
        <v>0</v>
      </c>
      <c r="BD32" s="15"/>
    </row>
    <row r="33" spans="1:56" ht="12.75">
      <c r="A33" s="1" t="s">
        <v>232</v>
      </c>
      <c r="B33" s="1" t="s">
        <v>119</v>
      </c>
      <c r="C33" s="4">
        <v>0.002738802778084004</v>
      </c>
      <c r="D33" s="5">
        <v>0.4979344488377092</v>
      </c>
      <c r="E33" s="129">
        <f t="shared" si="4"/>
        <v>0.0014802518416897612</v>
      </c>
      <c r="F33" s="135">
        <f t="shared" si="41"/>
        <v>23.572196287880065</v>
      </c>
      <c r="G33" s="135">
        <v>47.33995878956128</v>
      </c>
      <c r="H33" s="136">
        <f t="shared" si="42"/>
        <v>0.5362256079533291</v>
      </c>
      <c r="I33" s="137">
        <v>1.0769</v>
      </c>
      <c r="J33" s="137">
        <v>1.0769</v>
      </c>
      <c r="K33" s="138">
        <f t="shared" si="5"/>
        <v>0</v>
      </c>
      <c r="L33" s="133">
        <v>0.0014802518416897612</v>
      </c>
      <c r="M33" s="133">
        <f t="shared" si="6"/>
        <v>0.002306026938994571</v>
      </c>
      <c r="N33" s="147">
        <f t="shared" si="7"/>
        <v>433.6462784064442</v>
      </c>
      <c r="O33" s="133">
        <f t="shared" si="8"/>
        <v>0.015350109459392974</v>
      </c>
      <c r="P33" s="4">
        <v>0.002738802778084004</v>
      </c>
      <c r="Q33" s="14">
        <f t="shared" si="43"/>
        <v>0.003708005357205415</v>
      </c>
      <c r="R33" s="15">
        <f t="shared" si="44"/>
        <v>269.68677325581393</v>
      </c>
      <c r="S33" s="14">
        <f t="shared" si="45"/>
        <v>0.024074423021228763</v>
      </c>
      <c r="T33" s="15">
        <f t="shared" si="46"/>
        <v>2.2688701867493153</v>
      </c>
      <c r="U33" s="15">
        <f t="shared" si="47"/>
        <v>2.1068531774067374</v>
      </c>
      <c r="V33" s="5">
        <v>0.6224180610471365</v>
      </c>
      <c r="W33" s="15">
        <f t="shared" si="48"/>
        <v>0</v>
      </c>
      <c r="X33" s="15">
        <f t="shared" si="49"/>
        <v>0</v>
      </c>
      <c r="Y33" s="15">
        <f t="shared" si="13"/>
        <v>0.6702820099416612</v>
      </c>
      <c r="Z33" s="15">
        <f t="shared" si="14"/>
        <v>0</v>
      </c>
      <c r="AA33" s="15">
        <f t="shared" si="1"/>
        <v>0</v>
      </c>
      <c r="AB33" s="16">
        <f t="shared" si="15"/>
        <v>0</v>
      </c>
      <c r="AC33">
        <f t="shared" si="16"/>
        <v>0</v>
      </c>
      <c r="AD33">
        <f t="shared" si="17"/>
        <v>0.6702820099416612</v>
      </c>
      <c r="AE33">
        <f t="shared" si="18"/>
        <v>0</v>
      </c>
      <c r="AF33">
        <f t="shared" si="19"/>
        <v>0</v>
      </c>
      <c r="AG33">
        <f t="shared" si="20"/>
        <v>0</v>
      </c>
      <c r="AH33">
        <f t="shared" si="21"/>
        <v>0</v>
      </c>
      <c r="AI33">
        <f t="shared" si="22"/>
        <v>0.6702820099416612</v>
      </c>
      <c r="AJ33" s="15">
        <f t="shared" si="23"/>
        <v>0</v>
      </c>
      <c r="AK33">
        <f t="shared" si="24"/>
        <v>0</v>
      </c>
      <c r="AL33">
        <f t="shared" si="25"/>
        <v>0</v>
      </c>
      <c r="AM33">
        <f t="shared" si="26"/>
        <v>0</v>
      </c>
      <c r="AN33">
        <f t="shared" si="27"/>
        <v>0.6702820099416612</v>
      </c>
      <c r="AO33" s="15">
        <f t="shared" si="28"/>
        <v>0</v>
      </c>
      <c r="AP33">
        <f t="shared" si="29"/>
        <v>0</v>
      </c>
      <c r="AQ33">
        <f t="shared" si="30"/>
        <v>0</v>
      </c>
      <c r="AR33">
        <f t="shared" si="31"/>
        <v>0</v>
      </c>
      <c r="AS33">
        <f t="shared" si="32"/>
        <v>0.6702820099416612</v>
      </c>
      <c r="AT33" s="15">
        <f t="shared" si="33"/>
        <v>0</v>
      </c>
      <c r="AU33">
        <f t="shared" si="34"/>
        <v>0</v>
      </c>
      <c r="AV33">
        <f t="shared" si="35"/>
        <v>0</v>
      </c>
      <c r="AW33">
        <f t="shared" si="36"/>
        <v>0</v>
      </c>
      <c r="AX33">
        <f t="shared" si="37"/>
        <v>0.6702820099416612</v>
      </c>
      <c r="AY33" s="15">
        <f t="shared" si="38"/>
        <v>0</v>
      </c>
      <c r="AZ33">
        <f t="shared" si="39"/>
        <v>0</v>
      </c>
      <c r="BB33">
        <f t="shared" si="2"/>
        <v>0.6702820099416612</v>
      </c>
      <c r="BC33" s="15">
        <f t="shared" si="3"/>
        <v>0</v>
      </c>
      <c r="BD33" s="15"/>
    </row>
    <row r="34" spans="1:56" ht="12.75">
      <c r="A34" s="1" t="s">
        <v>24</v>
      </c>
      <c r="B34" s="1" t="s">
        <v>123</v>
      </c>
      <c r="C34" s="4">
        <v>0.0019297015213317165</v>
      </c>
      <c r="D34" s="5">
        <v>0.3950979309193895</v>
      </c>
      <c r="E34" s="129">
        <f t="shared" si="4"/>
        <v>0.0011745410289575235</v>
      </c>
      <c r="F34" s="135">
        <f t="shared" si="41"/>
        <v>16.608462428124795</v>
      </c>
      <c r="G34" s="135">
        <v>42.03631841218972</v>
      </c>
      <c r="H34" s="136">
        <f t="shared" si="42"/>
        <v>0.3971129303670784</v>
      </c>
      <c r="I34" s="137">
        <v>1.0051</v>
      </c>
      <c r="J34" s="137">
        <v>1.0051</v>
      </c>
      <c r="K34" s="138">
        <f t="shared" si="5"/>
        <v>0</v>
      </c>
      <c r="L34" s="133">
        <v>0.0011745410289575235</v>
      </c>
      <c r="M34" s="133">
        <f t="shared" si="6"/>
        <v>0.0018297719195124083</v>
      </c>
      <c r="N34" s="147">
        <f t="shared" si="7"/>
        <v>546.5162020119299</v>
      </c>
      <c r="O34" s="133">
        <f t="shared" si="8"/>
        <v>0.019345452595702892</v>
      </c>
      <c r="P34" s="4">
        <v>0.0019297015213317165</v>
      </c>
      <c r="Q34" s="14">
        <f t="shared" si="43"/>
        <v>0.002612580809455414</v>
      </c>
      <c r="R34" s="15">
        <f t="shared" si="44"/>
        <v>382.7632800412583</v>
      </c>
      <c r="S34" s="14">
        <f t="shared" si="45"/>
        <v>0.03416854675318285</v>
      </c>
      <c r="T34" s="15">
        <f t="shared" si="46"/>
        <v>3.220180894241421</v>
      </c>
      <c r="U34" s="15">
        <f t="shared" si="47"/>
        <v>3.2038413035930957</v>
      </c>
      <c r="V34" s="5">
        <v>0.49387241364923684</v>
      </c>
      <c r="W34" s="15">
        <f t="shared" si="48"/>
        <v>0</v>
      </c>
      <c r="X34" s="15">
        <f t="shared" si="49"/>
        <v>0</v>
      </c>
      <c r="Y34" s="15">
        <f t="shared" si="13"/>
        <v>0.496391162958848</v>
      </c>
      <c r="Z34" s="15">
        <f t="shared" si="14"/>
        <v>0</v>
      </c>
      <c r="AA34" s="15">
        <f t="shared" si="1"/>
        <v>0</v>
      </c>
      <c r="AB34" s="16">
        <f t="shared" si="15"/>
        <v>0</v>
      </c>
      <c r="AC34">
        <f t="shared" si="16"/>
        <v>0</v>
      </c>
      <c r="AD34">
        <f t="shared" si="17"/>
        <v>0.496391162958848</v>
      </c>
      <c r="AE34">
        <f t="shared" si="18"/>
        <v>0</v>
      </c>
      <c r="AF34">
        <f t="shared" si="19"/>
        <v>0</v>
      </c>
      <c r="AG34">
        <f t="shared" si="20"/>
        <v>0</v>
      </c>
      <c r="AH34">
        <f t="shared" si="21"/>
        <v>0</v>
      </c>
      <c r="AI34">
        <f t="shared" si="22"/>
        <v>0.496391162958848</v>
      </c>
      <c r="AJ34" s="15">
        <f t="shared" si="23"/>
        <v>0</v>
      </c>
      <c r="AK34">
        <f t="shared" si="24"/>
        <v>0</v>
      </c>
      <c r="AL34">
        <f t="shared" si="25"/>
        <v>0</v>
      </c>
      <c r="AM34">
        <f t="shared" si="26"/>
        <v>0</v>
      </c>
      <c r="AN34">
        <f t="shared" si="27"/>
        <v>0.496391162958848</v>
      </c>
      <c r="AO34" s="15">
        <f t="shared" si="28"/>
        <v>0</v>
      </c>
      <c r="AP34">
        <f t="shared" si="29"/>
        <v>0</v>
      </c>
      <c r="AQ34">
        <f t="shared" si="30"/>
        <v>0</v>
      </c>
      <c r="AR34">
        <f t="shared" si="31"/>
        <v>0</v>
      </c>
      <c r="AS34">
        <f t="shared" si="32"/>
        <v>0.496391162958848</v>
      </c>
      <c r="AT34" s="15">
        <f t="shared" si="33"/>
        <v>0</v>
      </c>
      <c r="AU34">
        <f t="shared" si="34"/>
        <v>0</v>
      </c>
      <c r="AV34">
        <f t="shared" si="35"/>
        <v>0</v>
      </c>
      <c r="AW34">
        <f t="shared" si="36"/>
        <v>0</v>
      </c>
      <c r="AX34">
        <f t="shared" si="37"/>
        <v>0.496391162958848</v>
      </c>
      <c r="AY34" s="15">
        <f t="shared" si="38"/>
        <v>0</v>
      </c>
      <c r="AZ34">
        <f t="shared" si="39"/>
        <v>0</v>
      </c>
      <c r="BB34">
        <f t="shared" si="2"/>
        <v>0.496391162958848</v>
      </c>
      <c r="BC34" s="15">
        <f t="shared" si="3"/>
        <v>0</v>
      </c>
      <c r="BD34" s="15"/>
    </row>
    <row r="35" spans="1:56" ht="12.75">
      <c r="A35" s="1" t="s">
        <v>233</v>
      </c>
      <c r="B35" s="1" t="s">
        <v>119</v>
      </c>
      <c r="C35" s="4">
        <v>0.009006600705545145</v>
      </c>
      <c r="D35" s="5">
        <v>3.9125305113486952</v>
      </c>
      <c r="E35" s="129">
        <f t="shared" si="4"/>
        <v>0.011631110296967848</v>
      </c>
      <c r="F35" s="135">
        <f t="shared" si="41"/>
        <v>77.5175786356521</v>
      </c>
      <c r="G35" s="135">
        <v>19.812645143802566</v>
      </c>
      <c r="H35" s="136">
        <f t="shared" si="42"/>
        <v>1.6330902354369454</v>
      </c>
      <c r="I35" s="137">
        <v>0.4174</v>
      </c>
      <c r="J35" s="137">
        <v>0.4174</v>
      </c>
      <c r="K35" s="138">
        <f t="shared" si="5"/>
        <v>0</v>
      </c>
      <c r="L35" s="133">
        <v>0.011631110296967848</v>
      </c>
      <c r="M35" s="133">
        <f t="shared" si="6"/>
        <v>0.018119655669272542</v>
      </c>
      <c r="N35" s="147">
        <f t="shared" si="7"/>
        <v>55.188686708644695</v>
      </c>
      <c r="O35" s="133">
        <f t="shared" si="8"/>
        <v>0.001953556214089841</v>
      </c>
      <c r="P35" s="4">
        <v>0.009006600705545145</v>
      </c>
      <c r="Q35" s="14">
        <f t="shared" si="43"/>
        <v>0.012193840291682051</v>
      </c>
      <c r="R35" s="15">
        <f t="shared" si="44"/>
        <v>82.00861878453037</v>
      </c>
      <c r="S35" s="14">
        <f t="shared" si="45"/>
        <v>0.007320752724245474</v>
      </c>
      <c r="T35" s="15">
        <f t="shared" si="46"/>
        <v>0.6899370998822226</v>
      </c>
      <c r="U35" s="15">
        <f t="shared" si="47"/>
        <v>1.6529398655539593</v>
      </c>
      <c r="V35" s="5">
        <v>4.890663139185869</v>
      </c>
      <c r="W35" s="15">
        <f t="shared" si="48"/>
        <v>0.6899370998822226</v>
      </c>
      <c r="X35" s="15">
        <f t="shared" si="49"/>
        <v>1.6529398655539593</v>
      </c>
      <c r="Y35" s="15">
        <f t="shared" si="13"/>
        <v>0</v>
      </c>
      <c r="Z35" s="15">
        <f t="shared" si="14"/>
        <v>0.6899370998822226</v>
      </c>
      <c r="AA35" s="15">
        <f t="shared" si="1"/>
        <v>2.080549315681825</v>
      </c>
      <c r="AB35" s="16">
        <f t="shared" si="15"/>
        <v>4.9845455574552595</v>
      </c>
      <c r="AC35">
        <f t="shared" si="16"/>
        <v>0</v>
      </c>
      <c r="AD35">
        <f t="shared" si="17"/>
        <v>2.0413627942961816</v>
      </c>
      <c r="AE35">
        <f t="shared" si="18"/>
        <v>0</v>
      </c>
      <c r="AF35">
        <f t="shared" si="19"/>
        <v>0</v>
      </c>
      <c r="AG35">
        <f t="shared" si="20"/>
        <v>0</v>
      </c>
      <c r="AH35">
        <f t="shared" si="21"/>
        <v>0</v>
      </c>
      <c r="AI35">
        <f t="shared" si="22"/>
        <v>2.0413627942961816</v>
      </c>
      <c r="AJ35" s="15">
        <f t="shared" si="23"/>
        <v>0</v>
      </c>
      <c r="AK35">
        <f t="shared" si="24"/>
        <v>0</v>
      </c>
      <c r="AL35">
        <f t="shared" si="25"/>
        <v>0</v>
      </c>
      <c r="AM35">
        <f t="shared" si="26"/>
        <v>0</v>
      </c>
      <c r="AN35">
        <f t="shared" si="27"/>
        <v>2.0413627942961816</v>
      </c>
      <c r="AO35" s="15">
        <f t="shared" si="28"/>
        <v>0</v>
      </c>
      <c r="AP35">
        <f t="shared" si="29"/>
        <v>0</v>
      </c>
      <c r="AQ35">
        <f t="shared" si="30"/>
        <v>0</v>
      </c>
      <c r="AR35">
        <f t="shared" si="31"/>
        <v>0</v>
      </c>
      <c r="AS35">
        <f t="shared" si="32"/>
        <v>2.0413627942961816</v>
      </c>
      <c r="AT35" s="15">
        <f t="shared" si="33"/>
        <v>0</v>
      </c>
      <c r="AU35">
        <f t="shared" si="34"/>
        <v>0</v>
      </c>
      <c r="AV35">
        <f t="shared" si="35"/>
        <v>0</v>
      </c>
      <c r="AW35">
        <f t="shared" si="36"/>
        <v>0</v>
      </c>
      <c r="AX35">
        <f t="shared" si="37"/>
        <v>2.0413627942961816</v>
      </c>
      <c r="AY35" s="15">
        <f t="shared" si="38"/>
        <v>0</v>
      </c>
      <c r="AZ35">
        <f t="shared" si="39"/>
        <v>0</v>
      </c>
      <c r="BB35">
        <f t="shared" si="2"/>
        <v>2.0413627942961816</v>
      </c>
      <c r="BC35" s="15">
        <f t="shared" si="3"/>
        <v>0</v>
      </c>
      <c r="BD35" s="15"/>
    </row>
    <row r="36" spans="1:56" ht="12.75">
      <c r="A36" s="1" t="s">
        <v>25</v>
      </c>
      <c r="B36" s="3"/>
      <c r="C36" s="4">
        <v>0.03216401416602359</v>
      </c>
      <c r="D36" s="5"/>
      <c r="E36" s="129"/>
      <c r="F36" s="135">
        <f>SUM(F37:F38)</f>
        <v>276.8276932514519</v>
      </c>
      <c r="G36" s="128"/>
      <c r="H36" s="136">
        <f>SUM(H37:H38)</f>
        <v>6.912689311565274</v>
      </c>
      <c r="I36" s="137"/>
      <c r="J36" s="137"/>
      <c r="K36" s="138">
        <f t="shared" si="5"/>
        <v>0</v>
      </c>
      <c r="L36" s="133"/>
      <c r="M36" s="133"/>
      <c r="N36" s="147"/>
      <c r="O36" s="133"/>
      <c r="P36" s="4"/>
      <c r="Q36" s="14"/>
      <c r="R36" s="15"/>
      <c r="S36" s="14"/>
      <c r="U36" s="15"/>
      <c r="V36" s="5"/>
      <c r="Y36" s="15">
        <f t="shared" si="13"/>
        <v>0</v>
      </c>
      <c r="Z36" s="15">
        <f t="shared" si="14"/>
        <v>0</v>
      </c>
      <c r="AA36" s="15">
        <f t="shared" si="1"/>
        <v>0</v>
      </c>
      <c r="AB36" s="16">
        <f t="shared" si="15"/>
        <v>0</v>
      </c>
      <c r="AC36">
        <f t="shared" si="16"/>
        <v>0</v>
      </c>
      <c r="AD36">
        <f t="shared" si="17"/>
        <v>0</v>
      </c>
      <c r="AE36">
        <f t="shared" si="18"/>
        <v>0</v>
      </c>
      <c r="AF36">
        <f t="shared" si="19"/>
        <v>0</v>
      </c>
      <c r="AG36">
        <f t="shared" si="20"/>
        <v>0</v>
      </c>
      <c r="AH36">
        <f t="shared" si="21"/>
        <v>0</v>
      </c>
      <c r="AI36">
        <f t="shared" si="22"/>
        <v>0</v>
      </c>
      <c r="AJ36" s="15">
        <f t="shared" si="23"/>
        <v>0</v>
      </c>
      <c r="AK36">
        <f t="shared" si="24"/>
        <v>0</v>
      </c>
      <c r="AL36">
        <f t="shared" si="25"/>
        <v>0</v>
      </c>
      <c r="AM36">
        <f t="shared" si="26"/>
        <v>0</v>
      </c>
      <c r="AN36">
        <f t="shared" si="27"/>
        <v>0</v>
      </c>
      <c r="AO36" s="15">
        <f t="shared" si="28"/>
        <v>0</v>
      </c>
      <c r="AP36">
        <f t="shared" si="29"/>
        <v>0</v>
      </c>
      <c r="AQ36">
        <f t="shared" si="30"/>
        <v>0</v>
      </c>
      <c r="AR36">
        <f t="shared" si="31"/>
        <v>0</v>
      </c>
      <c r="AS36">
        <f t="shared" si="32"/>
        <v>0</v>
      </c>
      <c r="AT36" s="15">
        <f t="shared" si="33"/>
        <v>0</v>
      </c>
      <c r="AU36">
        <f t="shared" si="34"/>
        <v>0</v>
      </c>
      <c r="AV36">
        <f t="shared" si="35"/>
        <v>0</v>
      </c>
      <c r="AW36">
        <f t="shared" si="36"/>
        <v>0</v>
      </c>
      <c r="AX36">
        <f t="shared" si="37"/>
        <v>0</v>
      </c>
      <c r="AY36" s="15">
        <f t="shared" si="38"/>
        <v>0</v>
      </c>
      <c r="AZ36">
        <f t="shared" si="39"/>
        <v>0</v>
      </c>
      <c r="BB36">
        <f t="shared" si="2"/>
        <v>0</v>
      </c>
      <c r="BC36" s="15">
        <f t="shared" si="3"/>
        <v>0</v>
      </c>
      <c r="BD36" s="15">
        <f>SUM(BB37:BC38)</f>
        <v>1.8972622247840583</v>
      </c>
    </row>
    <row r="37" spans="1:56" ht="12.75">
      <c r="A37" s="1" t="s">
        <v>26</v>
      </c>
      <c r="B37" s="1" t="s">
        <v>119</v>
      </c>
      <c r="C37" s="4">
        <v>0.028779323668834747</v>
      </c>
      <c r="D37" s="5">
        <v>18.871331296379697</v>
      </c>
      <c r="E37" s="129">
        <f t="shared" si="4"/>
        <v>0.05610040231562338</v>
      </c>
      <c r="F37" s="135">
        <f>G37*$D37</f>
        <v>247.69650154539082</v>
      </c>
      <c r="G37" s="135">
        <v>13.125544650520192</v>
      </c>
      <c r="H37" s="136">
        <f>I37*$D37</f>
        <v>6.437011105195115</v>
      </c>
      <c r="I37" s="137">
        <v>0.3411</v>
      </c>
      <c r="J37" s="137">
        <v>0.3411</v>
      </c>
      <c r="K37" s="138">
        <f t="shared" si="5"/>
        <v>0</v>
      </c>
      <c r="L37" s="133">
        <v>0.05610040231562338</v>
      </c>
      <c r="M37" s="133">
        <f t="shared" si="6"/>
        <v>0.08739664115572489</v>
      </c>
      <c r="N37" s="147">
        <f t="shared" si="7"/>
        <v>11.442087324822726</v>
      </c>
      <c r="O37" s="133">
        <f t="shared" si="8"/>
        <v>0.00040502432887327115</v>
      </c>
      <c r="P37" s="4">
        <v>0.028779323668834747</v>
      </c>
      <c r="Q37" s="14">
        <f>P37/$P$7</f>
        <v>0.03896369873534381</v>
      </c>
      <c r="R37" s="15">
        <f t="shared" si="44"/>
        <v>25.66491458607096</v>
      </c>
      <c r="S37" s="14">
        <f t="shared" si="45"/>
        <v>0.002291057893160715</v>
      </c>
      <c r="T37" s="15">
        <f t="shared" si="46"/>
        <v>0.21591848516267087</v>
      </c>
      <c r="U37" s="15">
        <f t="shared" si="47"/>
        <v>0.6330064062230163</v>
      </c>
      <c r="V37" s="5">
        <v>23.58916412047462</v>
      </c>
      <c r="W37" s="15">
        <f t="shared" si="48"/>
        <v>0.21591848516267087</v>
      </c>
      <c r="X37" s="15">
        <f t="shared" si="49"/>
        <v>0.6330064062230163</v>
      </c>
      <c r="Y37" s="15">
        <f t="shared" si="13"/>
        <v>0</v>
      </c>
      <c r="Z37" s="15">
        <f t="shared" si="14"/>
        <v>0.21591848516267087</v>
      </c>
      <c r="AA37" s="15">
        <f t="shared" si="1"/>
        <v>0.6511159591576361</v>
      </c>
      <c r="AB37" s="16">
        <f t="shared" si="15"/>
        <v>1.908871179002158</v>
      </c>
      <c r="AC37">
        <f t="shared" si="16"/>
        <v>1.908871179002158</v>
      </c>
      <c r="AD37">
        <f t="shared" si="17"/>
        <v>0</v>
      </c>
      <c r="AE37">
        <f t="shared" si="18"/>
        <v>0.6511159591576361</v>
      </c>
      <c r="AF37">
        <f t="shared" si="19"/>
        <v>1.1455857743692495</v>
      </c>
      <c r="AG37">
        <f t="shared" si="20"/>
        <v>3.358504175811344</v>
      </c>
      <c r="AH37">
        <f t="shared" si="21"/>
        <v>3.358504175811344</v>
      </c>
      <c r="AI37">
        <f t="shared" si="22"/>
        <v>0</v>
      </c>
      <c r="AJ37" s="15">
        <f t="shared" si="23"/>
        <v>1.1455857743692495</v>
      </c>
      <c r="AK37">
        <f t="shared" si="24"/>
        <v>1.294705390946169</v>
      </c>
      <c r="AL37">
        <f t="shared" si="25"/>
        <v>3.7956769010441773</v>
      </c>
      <c r="AM37">
        <f t="shared" si="26"/>
        <v>3.7956769010441773</v>
      </c>
      <c r="AN37">
        <f t="shared" si="27"/>
        <v>0</v>
      </c>
      <c r="AO37" s="15">
        <f t="shared" si="28"/>
        <v>1.294705390946169</v>
      </c>
      <c r="AP37">
        <f t="shared" si="29"/>
        <v>1.3026644668213594</v>
      </c>
      <c r="AQ37">
        <f t="shared" si="30"/>
        <v>3.819010456820168</v>
      </c>
      <c r="AR37">
        <f t="shared" si="31"/>
        <v>3.819010456820168</v>
      </c>
      <c r="AS37">
        <f t="shared" si="32"/>
        <v>0</v>
      </c>
      <c r="AT37" s="15">
        <f t="shared" si="33"/>
        <v>1.3026644668213594</v>
      </c>
      <c r="AU37">
        <f t="shared" si="34"/>
        <v>1.302664466821359</v>
      </c>
      <c r="AV37">
        <f t="shared" si="35"/>
        <v>3.8190104568201666</v>
      </c>
      <c r="AW37">
        <f t="shared" si="36"/>
        <v>3.8190104568201666</v>
      </c>
      <c r="AX37">
        <f t="shared" si="37"/>
        <v>0</v>
      </c>
      <c r="AY37" s="15">
        <f t="shared" si="38"/>
        <v>1.302664466821359</v>
      </c>
      <c r="AZ37">
        <f t="shared" si="39"/>
        <v>1.302664466821359</v>
      </c>
      <c r="BB37">
        <f t="shared" si="2"/>
        <v>0</v>
      </c>
      <c r="BC37" s="15">
        <f t="shared" si="3"/>
        <v>1.302664466821359</v>
      </c>
      <c r="BD37" s="15"/>
    </row>
    <row r="38" spans="1:56" ht="12.75">
      <c r="A38" s="1" t="s">
        <v>27</v>
      </c>
      <c r="B38" s="1" t="s">
        <v>123</v>
      </c>
      <c r="C38" s="4">
        <v>0.0033846904971888436</v>
      </c>
      <c r="D38" s="5">
        <v>2.7591543292932683</v>
      </c>
      <c r="E38" s="129">
        <f t="shared" si="4"/>
        <v>0.008202371390403253</v>
      </c>
      <c r="F38" s="135">
        <f>G38*$D38</f>
        <v>29.131191706061077</v>
      </c>
      <c r="G38" s="135">
        <v>10.558014604975996</v>
      </c>
      <c r="H38" s="136">
        <f>I38*$D38</f>
        <v>0.47567820637015945</v>
      </c>
      <c r="I38" s="137">
        <v>0.1724</v>
      </c>
      <c r="J38" s="137">
        <v>0.1724</v>
      </c>
      <c r="K38" s="138">
        <f t="shared" si="5"/>
        <v>0</v>
      </c>
      <c r="L38" s="133">
        <v>0.008202371390403253</v>
      </c>
      <c r="M38" s="133">
        <f t="shared" si="6"/>
        <v>0.01277815629556402</v>
      </c>
      <c r="N38" s="147">
        <f t="shared" si="7"/>
        <v>78.2585513018927</v>
      </c>
      <c r="O38" s="133">
        <f t="shared" si="8"/>
        <v>0.0027701778809955577</v>
      </c>
      <c r="P38" s="4">
        <v>0.0033846904971888436</v>
      </c>
      <c r="Q38" s="14">
        <f>P38/$P$7</f>
        <v>0.00458245865547079</v>
      </c>
      <c r="R38" s="15">
        <f t="shared" si="44"/>
        <v>218.22346368715085</v>
      </c>
      <c r="S38" s="14">
        <f t="shared" si="45"/>
        <v>0.0194803916949196</v>
      </c>
      <c r="T38" s="15">
        <f t="shared" si="46"/>
        <v>1.8359102481429335</v>
      </c>
      <c r="U38" s="15">
        <f t="shared" si="47"/>
        <v>10.649131369738594</v>
      </c>
      <c r="V38" s="5">
        <v>3.4489429116165855</v>
      </c>
      <c r="W38" s="15">
        <f t="shared" si="48"/>
        <v>0</v>
      </c>
      <c r="X38" s="15">
        <f t="shared" si="49"/>
        <v>0</v>
      </c>
      <c r="Y38" s="15">
        <f t="shared" si="13"/>
        <v>0.5945977579626993</v>
      </c>
      <c r="Z38" s="15">
        <f t="shared" si="14"/>
        <v>0</v>
      </c>
      <c r="AA38" s="15">
        <f t="shared" si="1"/>
        <v>0</v>
      </c>
      <c r="AB38" s="16">
        <f t="shared" si="15"/>
        <v>0</v>
      </c>
      <c r="AC38">
        <f t="shared" si="16"/>
        <v>0</v>
      </c>
      <c r="AD38">
        <f t="shared" si="17"/>
        <v>0.5945977579626993</v>
      </c>
      <c r="AE38">
        <f t="shared" si="18"/>
        <v>0</v>
      </c>
      <c r="AF38">
        <f t="shared" si="19"/>
        <v>0</v>
      </c>
      <c r="AG38">
        <f t="shared" si="20"/>
        <v>0</v>
      </c>
      <c r="AH38">
        <f t="shared" si="21"/>
        <v>0</v>
      </c>
      <c r="AI38">
        <f t="shared" si="22"/>
        <v>0.5945977579626993</v>
      </c>
      <c r="AJ38" s="15">
        <f t="shared" si="23"/>
        <v>0</v>
      </c>
      <c r="AK38">
        <f t="shared" si="24"/>
        <v>0</v>
      </c>
      <c r="AL38">
        <f t="shared" si="25"/>
        <v>0</v>
      </c>
      <c r="AM38">
        <f t="shared" si="26"/>
        <v>0</v>
      </c>
      <c r="AN38">
        <f t="shared" si="27"/>
        <v>0.5945977579626993</v>
      </c>
      <c r="AO38" s="15">
        <f t="shared" si="28"/>
        <v>0</v>
      </c>
      <c r="AP38">
        <f t="shared" si="29"/>
        <v>0</v>
      </c>
      <c r="AQ38">
        <f t="shared" si="30"/>
        <v>0</v>
      </c>
      <c r="AR38">
        <f t="shared" si="31"/>
        <v>0</v>
      </c>
      <c r="AS38">
        <f t="shared" si="32"/>
        <v>0.5945977579626993</v>
      </c>
      <c r="AT38" s="15">
        <f t="shared" si="33"/>
        <v>0</v>
      </c>
      <c r="AU38">
        <f t="shared" si="34"/>
        <v>0</v>
      </c>
      <c r="AV38">
        <f t="shared" si="35"/>
        <v>0</v>
      </c>
      <c r="AW38">
        <f t="shared" si="36"/>
        <v>0</v>
      </c>
      <c r="AX38">
        <f t="shared" si="37"/>
        <v>0.5945977579626993</v>
      </c>
      <c r="AY38" s="15">
        <f t="shared" si="38"/>
        <v>0</v>
      </c>
      <c r="AZ38">
        <f t="shared" si="39"/>
        <v>0</v>
      </c>
      <c r="BB38">
        <f t="shared" si="2"/>
        <v>0.5945977579626993</v>
      </c>
      <c r="BC38" s="15">
        <f t="shared" si="3"/>
        <v>0</v>
      </c>
      <c r="BD38" s="15"/>
    </row>
    <row r="39" spans="1:56" ht="12.75">
      <c r="A39" s="1" t="s">
        <v>28</v>
      </c>
      <c r="B39" s="3"/>
      <c r="C39" s="4">
        <v>0.011085582901554404</v>
      </c>
      <c r="D39" s="5"/>
      <c r="E39" s="129"/>
      <c r="F39" s="135">
        <f>SUM(F40:F42)</f>
        <v>95.41086280911918</v>
      </c>
      <c r="G39" s="128"/>
      <c r="H39" s="136">
        <f>SUM(H40:H42)</f>
        <v>1.7968824359449667</v>
      </c>
      <c r="I39" s="137"/>
      <c r="J39" s="137"/>
      <c r="K39" s="138">
        <f t="shared" si="5"/>
        <v>0</v>
      </c>
      <c r="L39" s="133"/>
      <c r="M39" s="133"/>
      <c r="N39" s="147"/>
      <c r="O39" s="133"/>
      <c r="P39" s="4"/>
      <c r="Q39" s="14"/>
      <c r="R39" s="15"/>
      <c r="S39" s="14"/>
      <c r="U39" s="15"/>
      <c r="V39" s="5"/>
      <c r="Y39" s="15">
        <f t="shared" si="13"/>
        <v>0</v>
      </c>
      <c r="Z39" s="15">
        <f t="shared" si="14"/>
        <v>0</v>
      </c>
      <c r="AA39" s="15">
        <f t="shared" si="1"/>
        <v>0</v>
      </c>
      <c r="AB39" s="16">
        <f t="shared" si="15"/>
        <v>0</v>
      </c>
      <c r="AC39">
        <f t="shared" si="16"/>
        <v>0</v>
      </c>
      <c r="AD39">
        <f t="shared" si="17"/>
        <v>0</v>
      </c>
      <c r="AE39">
        <f t="shared" si="18"/>
        <v>0</v>
      </c>
      <c r="AF39">
        <f t="shared" si="19"/>
        <v>0</v>
      </c>
      <c r="AG39">
        <f t="shared" si="20"/>
        <v>0</v>
      </c>
      <c r="AH39">
        <f t="shared" si="21"/>
        <v>0</v>
      </c>
      <c r="AI39">
        <f t="shared" si="22"/>
        <v>0</v>
      </c>
      <c r="AJ39" s="15">
        <f t="shared" si="23"/>
        <v>0</v>
      </c>
      <c r="AK39">
        <f t="shared" si="24"/>
        <v>0</v>
      </c>
      <c r="AL39">
        <f t="shared" si="25"/>
        <v>0</v>
      </c>
      <c r="AM39">
        <f t="shared" si="26"/>
        <v>0</v>
      </c>
      <c r="AN39">
        <f t="shared" si="27"/>
        <v>0</v>
      </c>
      <c r="AO39" s="15">
        <f t="shared" si="28"/>
        <v>0</v>
      </c>
      <c r="AP39">
        <f t="shared" si="29"/>
        <v>0</v>
      </c>
      <c r="AQ39">
        <f t="shared" si="30"/>
        <v>0</v>
      </c>
      <c r="AR39">
        <f t="shared" si="31"/>
        <v>0</v>
      </c>
      <c r="AS39">
        <f t="shared" si="32"/>
        <v>0</v>
      </c>
      <c r="AT39" s="15">
        <f t="shared" si="33"/>
        <v>0</v>
      </c>
      <c r="AU39">
        <f t="shared" si="34"/>
        <v>0</v>
      </c>
      <c r="AV39">
        <f t="shared" si="35"/>
        <v>0</v>
      </c>
      <c r="AW39">
        <f t="shared" si="36"/>
        <v>0</v>
      </c>
      <c r="AX39">
        <f t="shared" si="37"/>
        <v>0</v>
      </c>
      <c r="AY39" s="15">
        <f t="shared" si="38"/>
        <v>0</v>
      </c>
      <c r="AZ39">
        <f t="shared" si="39"/>
        <v>0</v>
      </c>
      <c r="BB39">
        <f t="shared" si="2"/>
        <v>0</v>
      </c>
      <c r="BC39" s="15">
        <f t="shared" si="3"/>
        <v>0</v>
      </c>
      <c r="BD39" s="15">
        <f>SUM(BB40:BC42)</f>
        <v>2.2461030449312083</v>
      </c>
    </row>
    <row r="40" spans="1:56" ht="12.75">
      <c r="A40" s="1" t="s">
        <v>29</v>
      </c>
      <c r="B40" s="1" t="s">
        <v>119</v>
      </c>
      <c r="C40" s="4">
        <v>0.00435899570058428</v>
      </c>
      <c r="D40" s="5">
        <v>0.5705197305780351</v>
      </c>
      <c r="E40" s="129">
        <f t="shared" si="4"/>
        <v>0.00169603224657335</v>
      </c>
      <c r="F40" s="135">
        <f>G40*$D40</f>
        <v>37.51679496399515</v>
      </c>
      <c r="G40" s="135">
        <v>65.7589789681492</v>
      </c>
      <c r="H40" s="136">
        <f>I40*$D40</f>
        <v>0.452365094375324</v>
      </c>
      <c r="I40" s="137">
        <v>0.7929</v>
      </c>
      <c r="J40" s="137">
        <v>0.7929</v>
      </c>
      <c r="K40" s="138">
        <f t="shared" si="5"/>
        <v>0</v>
      </c>
      <c r="L40" s="133">
        <v>0.00169603224657335</v>
      </c>
      <c r="M40" s="133">
        <f t="shared" si="6"/>
        <v>0.0026421828636517485</v>
      </c>
      <c r="N40" s="147">
        <f t="shared" si="7"/>
        <v>378.4749397011472</v>
      </c>
      <c r="O40" s="133">
        <f t="shared" si="8"/>
        <v>0.013397167325864986</v>
      </c>
      <c r="P40" s="4">
        <v>0.00435899570058428</v>
      </c>
      <c r="Q40" s="14">
        <f>P40/$P$7</f>
        <v>0.005901549224040595</v>
      </c>
      <c r="R40" s="15">
        <f t="shared" si="44"/>
        <v>169.4470319634703</v>
      </c>
      <c r="S40" s="14">
        <f t="shared" si="45"/>
        <v>0.01512621282064419</v>
      </c>
      <c r="T40" s="15">
        <f t="shared" si="46"/>
        <v>1.4255549666516245</v>
      </c>
      <c r="U40" s="15">
        <f t="shared" si="47"/>
        <v>1.7979000714486373</v>
      </c>
      <c r="V40" s="5">
        <v>0.7131496632225438</v>
      </c>
      <c r="W40" s="15">
        <f t="shared" si="48"/>
        <v>0</v>
      </c>
      <c r="X40" s="15">
        <f t="shared" si="49"/>
        <v>0</v>
      </c>
      <c r="Y40" s="15">
        <f t="shared" si="13"/>
        <v>0.565456367969155</v>
      </c>
      <c r="Z40" s="15">
        <f t="shared" si="14"/>
        <v>0</v>
      </c>
      <c r="AA40" s="15">
        <f t="shared" si="1"/>
        <v>0</v>
      </c>
      <c r="AB40" s="16">
        <f t="shared" si="15"/>
        <v>0</v>
      </c>
      <c r="AC40">
        <f t="shared" si="16"/>
        <v>0</v>
      </c>
      <c r="AD40">
        <f t="shared" si="17"/>
        <v>0.565456367969155</v>
      </c>
      <c r="AE40">
        <f t="shared" si="18"/>
        <v>0</v>
      </c>
      <c r="AF40">
        <f t="shared" si="19"/>
        <v>0</v>
      </c>
      <c r="AG40">
        <f t="shared" si="20"/>
        <v>0</v>
      </c>
      <c r="AH40">
        <f t="shared" si="21"/>
        <v>0</v>
      </c>
      <c r="AI40">
        <f t="shared" si="22"/>
        <v>0.565456367969155</v>
      </c>
      <c r="AJ40" s="15">
        <f t="shared" si="23"/>
        <v>0</v>
      </c>
      <c r="AK40">
        <f t="shared" si="24"/>
        <v>0</v>
      </c>
      <c r="AL40">
        <f t="shared" si="25"/>
        <v>0</v>
      </c>
      <c r="AM40">
        <f t="shared" si="26"/>
        <v>0</v>
      </c>
      <c r="AN40">
        <f t="shared" si="27"/>
        <v>0.565456367969155</v>
      </c>
      <c r="AO40" s="15">
        <f t="shared" si="28"/>
        <v>0</v>
      </c>
      <c r="AP40">
        <f t="shared" si="29"/>
        <v>0</v>
      </c>
      <c r="AQ40">
        <f t="shared" si="30"/>
        <v>0</v>
      </c>
      <c r="AR40">
        <f t="shared" si="31"/>
        <v>0</v>
      </c>
      <c r="AS40">
        <f t="shared" si="32"/>
        <v>0.565456367969155</v>
      </c>
      <c r="AT40" s="15">
        <f t="shared" si="33"/>
        <v>0</v>
      </c>
      <c r="AU40">
        <f t="shared" si="34"/>
        <v>0</v>
      </c>
      <c r="AV40">
        <f t="shared" si="35"/>
        <v>0</v>
      </c>
      <c r="AW40">
        <f t="shared" si="36"/>
        <v>0</v>
      </c>
      <c r="AX40">
        <f t="shared" si="37"/>
        <v>0.565456367969155</v>
      </c>
      <c r="AY40" s="15">
        <f t="shared" si="38"/>
        <v>0</v>
      </c>
      <c r="AZ40">
        <f t="shared" si="39"/>
        <v>0</v>
      </c>
      <c r="BB40">
        <f t="shared" si="2"/>
        <v>0.565456367969155</v>
      </c>
      <c r="BC40" s="15">
        <f t="shared" si="3"/>
        <v>0</v>
      </c>
      <c r="BD40" s="15"/>
    </row>
    <row r="41" spans="1:56" ht="12.75">
      <c r="A41" s="1" t="s">
        <v>261</v>
      </c>
      <c r="B41" s="1" t="s">
        <v>119</v>
      </c>
      <c r="C41" s="4">
        <v>0.0016570154889207365</v>
      </c>
      <c r="D41" s="5">
        <v>0.2726217567781287</v>
      </c>
      <c r="E41" s="129">
        <f t="shared" si="4"/>
        <v>0.0008104457494304658</v>
      </c>
      <c r="F41" s="135">
        <f>G41*$D41</f>
        <v>14.261521373299527</v>
      </c>
      <c r="G41" s="135">
        <v>52.312484307355426</v>
      </c>
      <c r="H41" s="136">
        <f>I41*$D41</f>
        <v>0.25083927841155623</v>
      </c>
      <c r="I41" s="137">
        <v>0.9201</v>
      </c>
      <c r="J41" s="137">
        <v>0.9201</v>
      </c>
      <c r="K41" s="138">
        <f t="shared" si="5"/>
        <v>0</v>
      </c>
      <c r="L41" s="133">
        <v>0.0008104457494304658</v>
      </c>
      <c r="M41" s="133">
        <f t="shared" si="6"/>
        <v>0.0012625620033999553</v>
      </c>
      <c r="N41" s="147">
        <f t="shared" si="7"/>
        <v>792.0403095508168</v>
      </c>
      <c r="O41" s="133">
        <f t="shared" si="8"/>
        <v>0.028036457484506016</v>
      </c>
      <c r="P41" s="4">
        <v>0.0016570154889207365</v>
      </c>
      <c r="Q41" s="14">
        <f>P41/$P$7</f>
        <v>0.0022433971365359794</v>
      </c>
      <c r="R41" s="15">
        <f t="shared" si="44"/>
        <v>445.7525525525525</v>
      </c>
      <c r="S41" s="14">
        <f t="shared" si="45"/>
        <v>0.03979147877142435</v>
      </c>
      <c r="T41" s="15">
        <f t="shared" si="46"/>
        <v>3.7501085609213907</v>
      </c>
      <c r="U41" s="15">
        <f t="shared" si="47"/>
        <v>4.075761939921085</v>
      </c>
      <c r="V41" s="5">
        <v>0.34077719597266093</v>
      </c>
      <c r="W41" s="15">
        <f t="shared" si="48"/>
        <v>0</v>
      </c>
      <c r="X41" s="15">
        <f t="shared" si="49"/>
        <v>0</v>
      </c>
      <c r="Y41" s="15">
        <f t="shared" si="13"/>
        <v>0.3135490980144453</v>
      </c>
      <c r="Z41" s="15">
        <f t="shared" si="14"/>
        <v>0</v>
      </c>
      <c r="AA41" s="15">
        <f t="shared" si="1"/>
        <v>0</v>
      </c>
      <c r="AB41" s="16">
        <f t="shared" si="15"/>
        <v>0</v>
      </c>
      <c r="AC41">
        <f t="shared" si="16"/>
        <v>0</v>
      </c>
      <c r="AD41">
        <f t="shared" si="17"/>
        <v>0.3135490980144453</v>
      </c>
      <c r="AE41">
        <f t="shared" si="18"/>
        <v>0</v>
      </c>
      <c r="AF41">
        <f t="shared" si="19"/>
        <v>0</v>
      </c>
      <c r="AG41">
        <f t="shared" si="20"/>
        <v>0</v>
      </c>
      <c r="AH41">
        <f t="shared" si="21"/>
        <v>0</v>
      </c>
      <c r="AI41">
        <f t="shared" si="22"/>
        <v>0.3135490980144453</v>
      </c>
      <c r="AJ41" s="15">
        <f t="shared" si="23"/>
        <v>0</v>
      </c>
      <c r="AK41">
        <f t="shared" si="24"/>
        <v>0</v>
      </c>
      <c r="AL41">
        <f t="shared" si="25"/>
        <v>0</v>
      </c>
      <c r="AM41">
        <f t="shared" si="26"/>
        <v>0</v>
      </c>
      <c r="AN41">
        <f t="shared" si="27"/>
        <v>0.3135490980144453</v>
      </c>
      <c r="AO41" s="15">
        <f t="shared" si="28"/>
        <v>0</v>
      </c>
      <c r="AP41">
        <f t="shared" si="29"/>
        <v>0</v>
      </c>
      <c r="AQ41">
        <f t="shared" si="30"/>
        <v>0</v>
      </c>
      <c r="AR41">
        <f t="shared" si="31"/>
        <v>0</v>
      </c>
      <c r="AS41">
        <f t="shared" si="32"/>
        <v>0.3135490980144453</v>
      </c>
      <c r="AT41" s="15">
        <f t="shared" si="33"/>
        <v>0</v>
      </c>
      <c r="AU41">
        <f t="shared" si="34"/>
        <v>0</v>
      </c>
      <c r="AV41">
        <f t="shared" si="35"/>
        <v>0</v>
      </c>
      <c r="AW41">
        <f t="shared" si="36"/>
        <v>0</v>
      </c>
      <c r="AX41">
        <f t="shared" si="37"/>
        <v>0.3135490980144453</v>
      </c>
      <c r="AY41" s="15">
        <f t="shared" si="38"/>
        <v>0</v>
      </c>
      <c r="AZ41">
        <f t="shared" si="39"/>
        <v>0</v>
      </c>
      <c r="BB41">
        <f t="shared" si="2"/>
        <v>0.3135490980144453</v>
      </c>
      <c r="BC41" s="15">
        <f t="shared" si="3"/>
        <v>0</v>
      </c>
      <c r="BD41" s="15"/>
    </row>
    <row r="42" spans="1:56" ht="12.75">
      <c r="A42" s="1" t="s">
        <v>267</v>
      </c>
      <c r="B42" s="1" t="s">
        <v>123</v>
      </c>
      <c r="C42" s="4">
        <v>0.005069571712049388</v>
      </c>
      <c r="D42" s="5">
        <v>1.0197464458350456</v>
      </c>
      <c r="E42" s="129">
        <f t="shared" si="4"/>
        <v>0.0030314864898931646</v>
      </c>
      <c r="F42" s="135">
        <f>G42*$D42</f>
        <v>43.63254647182449</v>
      </c>
      <c r="G42" s="135">
        <v>42.78764260472108</v>
      </c>
      <c r="H42" s="136">
        <f>I42*$D42</f>
        <v>1.0936780631580865</v>
      </c>
      <c r="I42" s="137">
        <v>1.0725</v>
      </c>
      <c r="J42" s="137">
        <v>1.0725</v>
      </c>
      <c r="K42" s="138">
        <f t="shared" si="5"/>
        <v>0</v>
      </c>
      <c r="L42" s="133">
        <v>0.0030314864898931646</v>
      </c>
      <c r="M42" s="133">
        <f t="shared" si="6"/>
        <v>0.0047226352394951964</v>
      </c>
      <c r="N42" s="147">
        <f t="shared" si="7"/>
        <v>211.7461860355089</v>
      </c>
      <c r="O42" s="133">
        <f t="shared" si="8"/>
        <v>0.007495341929828835</v>
      </c>
      <c r="P42" s="4">
        <v>0.005069571712049388</v>
      </c>
      <c r="Q42" s="14">
        <f>P42/$P$7</f>
        <v>0.006863582590699266</v>
      </c>
      <c r="R42" s="15">
        <f t="shared" si="44"/>
        <v>145.69650569297212</v>
      </c>
      <c r="S42" s="14">
        <f t="shared" si="45"/>
        <v>0.01300604871504153</v>
      </c>
      <c r="T42" s="15">
        <f t="shared" si="46"/>
        <v>1.2257421974743063</v>
      </c>
      <c r="U42" s="15">
        <f t="shared" si="47"/>
        <v>1.142883167808211</v>
      </c>
      <c r="V42" s="5">
        <v>1.274683057293807</v>
      </c>
      <c r="W42" s="15">
        <f t="shared" si="48"/>
        <v>1.2257421974743063</v>
      </c>
      <c r="X42" s="15">
        <f t="shared" si="49"/>
        <v>1.142883167808211</v>
      </c>
      <c r="Y42" s="15">
        <f t="shared" si="13"/>
        <v>0</v>
      </c>
      <c r="Z42" s="15">
        <f t="shared" si="14"/>
        <v>1.2257421974743063</v>
      </c>
      <c r="AA42" s="15">
        <f t="shared" si="1"/>
        <v>3.69630375086779</v>
      </c>
      <c r="AB42" s="16">
        <f t="shared" si="15"/>
        <v>3.446437063746191</v>
      </c>
      <c r="AC42">
        <f t="shared" si="16"/>
        <v>0</v>
      </c>
      <c r="AD42">
        <f t="shared" si="17"/>
        <v>1.367097578947608</v>
      </c>
      <c r="AE42">
        <f t="shared" si="18"/>
        <v>0</v>
      </c>
      <c r="AF42">
        <f t="shared" si="19"/>
        <v>0</v>
      </c>
      <c r="AG42">
        <f t="shared" si="20"/>
        <v>0</v>
      </c>
      <c r="AH42">
        <f t="shared" si="21"/>
        <v>0</v>
      </c>
      <c r="AI42">
        <f t="shared" si="22"/>
        <v>1.367097578947608</v>
      </c>
      <c r="AJ42" s="15">
        <f t="shared" si="23"/>
        <v>0</v>
      </c>
      <c r="AK42">
        <f t="shared" si="24"/>
        <v>0</v>
      </c>
      <c r="AL42">
        <f t="shared" si="25"/>
        <v>0</v>
      </c>
      <c r="AM42">
        <f t="shared" si="26"/>
        <v>0</v>
      </c>
      <c r="AN42">
        <f t="shared" si="27"/>
        <v>1.367097578947608</v>
      </c>
      <c r="AO42" s="15">
        <f t="shared" si="28"/>
        <v>0</v>
      </c>
      <c r="AP42">
        <f t="shared" si="29"/>
        <v>0</v>
      </c>
      <c r="AQ42">
        <f t="shared" si="30"/>
        <v>0</v>
      </c>
      <c r="AR42">
        <f t="shared" si="31"/>
        <v>0</v>
      </c>
      <c r="AS42">
        <f t="shared" si="32"/>
        <v>1.367097578947608</v>
      </c>
      <c r="AT42" s="15">
        <f t="shared" si="33"/>
        <v>0</v>
      </c>
      <c r="AU42">
        <f t="shared" si="34"/>
        <v>0</v>
      </c>
      <c r="AV42">
        <f t="shared" si="35"/>
        <v>0</v>
      </c>
      <c r="AW42">
        <f t="shared" si="36"/>
        <v>0</v>
      </c>
      <c r="AX42">
        <f t="shared" si="37"/>
        <v>1.367097578947608</v>
      </c>
      <c r="AY42" s="15">
        <f t="shared" si="38"/>
        <v>0</v>
      </c>
      <c r="AZ42">
        <f t="shared" si="39"/>
        <v>0</v>
      </c>
      <c r="BB42">
        <f t="shared" si="2"/>
        <v>1.367097578947608</v>
      </c>
      <c r="BC42" s="15">
        <f t="shared" si="3"/>
        <v>0</v>
      </c>
      <c r="BD42" s="15"/>
    </row>
    <row r="43" spans="1:56" ht="12.75">
      <c r="A43" s="1" t="s">
        <v>30</v>
      </c>
      <c r="B43" s="3"/>
      <c r="C43" s="4">
        <v>0.020282267666188954</v>
      </c>
      <c r="D43" s="5"/>
      <c r="E43" s="129"/>
      <c r="F43" s="135">
        <f>SUM(F44:F49)</f>
        <v>174.56444780050714</v>
      </c>
      <c r="G43" s="128"/>
      <c r="H43" s="136">
        <f>SUM(H44:H49)</f>
        <v>3.0728577203546443</v>
      </c>
      <c r="I43" s="137"/>
      <c r="J43" s="137"/>
      <c r="K43" s="138">
        <f t="shared" si="5"/>
        <v>0</v>
      </c>
      <c r="L43" s="133"/>
      <c r="M43" s="133"/>
      <c r="N43" s="147"/>
      <c r="O43" s="133"/>
      <c r="P43" s="4"/>
      <c r="Q43" s="14"/>
      <c r="R43" s="15"/>
      <c r="S43" s="14"/>
      <c r="U43" s="15"/>
      <c r="V43" s="5"/>
      <c r="Y43" s="15">
        <f t="shared" si="13"/>
        <v>0</v>
      </c>
      <c r="Z43" s="15">
        <f t="shared" si="14"/>
        <v>0</v>
      </c>
      <c r="AA43" s="15">
        <f t="shared" si="1"/>
        <v>0</v>
      </c>
      <c r="AB43" s="16">
        <f t="shared" si="15"/>
        <v>0</v>
      </c>
      <c r="AC43">
        <f t="shared" si="16"/>
        <v>0</v>
      </c>
      <c r="AD43">
        <f t="shared" si="17"/>
        <v>0</v>
      </c>
      <c r="AE43">
        <f t="shared" si="18"/>
        <v>0</v>
      </c>
      <c r="AF43">
        <f t="shared" si="19"/>
        <v>0</v>
      </c>
      <c r="AG43">
        <f t="shared" si="20"/>
        <v>0</v>
      </c>
      <c r="AH43">
        <f t="shared" si="21"/>
        <v>0</v>
      </c>
      <c r="AI43">
        <f t="shared" si="22"/>
        <v>0</v>
      </c>
      <c r="AJ43" s="15">
        <f t="shared" si="23"/>
        <v>0</v>
      </c>
      <c r="AK43">
        <f t="shared" si="24"/>
        <v>0</v>
      </c>
      <c r="AL43">
        <f t="shared" si="25"/>
        <v>0</v>
      </c>
      <c r="AM43">
        <f t="shared" si="26"/>
        <v>0</v>
      </c>
      <c r="AN43">
        <f t="shared" si="27"/>
        <v>0</v>
      </c>
      <c r="AO43" s="15">
        <f t="shared" si="28"/>
        <v>0</v>
      </c>
      <c r="AP43">
        <f t="shared" si="29"/>
        <v>0</v>
      </c>
      <c r="AQ43">
        <f t="shared" si="30"/>
        <v>0</v>
      </c>
      <c r="AR43">
        <f t="shared" si="31"/>
        <v>0</v>
      </c>
      <c r="AS43">
        <f t="shared" si="32"/>
        <v>0</v>
      </c>
      <c r="AT43" s="15">
        <f t="shared" si="33"/>
        <v>0</v>
      </c>
      <c r="AU43">
        <f t="shared" si="34"/>
        <v>0</v>
      </c>
      <c r="AV43">
        <f t="shared" si="35"/>
        <v>0</v>
      </c>
      <c r="AW43">
        <f t="shared" si="36"/>
        <v>0</v>
      </c>
      <c r="AX43">
        <f t="shared" si="37"/>
        <v>0</v>
      </c>
      <c r="AY43" s="15">
        <f t="shared" si="38"/>
        <v>0</v>
      </c>
      <c r="AZ43">
        <f t="shared" si="39"/>
        <v>0</v>
      </c>
      <c r="BB43">
        <f t="shared" si="2"/>
        <v>0</v>
      </c>
      <c r="BC43" s="15">
        <f t="shared" si="3"/>
        <v>0</v>
      </c>
      <c r="BD43" s="15">
        <f>SUM(BB44:BC49)</f>
        <v>3.8410721504433054</v>
      </c>
    </row>
    <row r="44" spans="1:56" ht="12.75">
      <c r="A44" s="1" t="s">
        <v>31</v>
      </c>
      <c r="B44" s="1" t="s">
        <v>119</v>
      </c>
      <c r="C44" s="4">
        <v>0.0013126747326645354</v>
      </c>
      <c r="D44" s="5">
        <v>0.3706352406949532</v>
      </c>
      <c r="E44" s="129">
        <f t="shared" si="4"/>
        <v>0.0011018187211478663</v>
      </c>
      <c r="F44" s="135">
        <f aca="true" t="shared" si="50" ref="F44:F49">G44*$D44</f>
        <v>11.297865880709956</v>
      </c>
      <c r="G44" s="135">
        <v>30.48243836588795</v>
      </c>
      <c r="H44" s="136">
        <f aca="true" t="shared" si="51" ref="H44:H49">I44*$D44</f>
        <v>0.19202611820405524</v>
      </c>
      <c r="I44" s="137">
        <v>0.5181</v>
      </c>
      <c r="J44" s="137">
        <v>0.5181</v>
      </c>
      <c r="K44" s="138">
        <f t="shared" si="5"/>
        <v>0</v>
      </c>
      <c r="L44" s="133">
        <v>0.0011018187211478663</v>
      </c>
      <c r="M44" s="133">
        <f t="shared" si="6"/>
        <v>0.0017164806563963364</v>
      </c>
      <c r="N44" s="147">
        <f t="shared" si="7"/>
        <v>582.5873983919219</v>
      </c>
      <c r="O44" s="133">
        <f t="shared" si="8"/>
        <v>0.020622292361972425</v>
      </c>
      <c r="P44" s="4">
        <v>0.0013126747326645354</v>
      </c>
      <c r="Q44" s="14">
        <f aca="true" t="shared" si="52" ref="Q44:Q49">P44/$P$7</f>
        <v>0.0017772016955501242</v>
      </c>
      <c r="R44" s="15">
        <f aca="true" t="shared" si="53" ref="R44:R59">1/Q44</f>
        <v>562.6823351023503</v>
      </c>
      <c r="S44" s="14">
        <f aca="true" t="shared" si="54" ref="S44:S59">R44/$R$7</f>
        <v>0.05022957706931127</v>
      </c>
      <c r="T44" s="15">
        <f aca="true" t="shared" si="55" ref="T44:T59">S44*$T$7</f>
        <v>4.733836811170672</v>
      </c>
      <c r="U44" s="15">
        <f aca="true" t="shared" si="56" ref="U44:U59">T44/J44</f>
        <v>9.136917219013071</v>
      </c>
      <c r="V44" s="5">
        <v>0.46329405086869146</v>
      </c>
      <c r="W44" s="15">
        <f aca="true" t="shared" si="57" ref="W44:W73">IF(U44&lt;V44,U44*I44,0)</f>
        <v>0</v>
      </c>
      <c r="X44" s="15">
        <f aca="true" t="shared" si="58" ref="X44:X73">IF(U44&lt;V44,U34:U44,0)</f>
        <v>0</v>
      </c>
      <c r="Y44" s="15">
        <f t="shared" si="13"/>
        <v>0.24003264775506905</v>
      </c>
      <c r="Z44" s="15">
        <f t="shared" si="14"/>
        <v>0</v>
      </c>
      <c r="AA44" s="15">
        <f t="shared" si="1"/>
        <v>0</v>
      </c>
      <c r="AB44" s="16">
        <f t="shared" si="15"/>
        <v>0</v>
      </c>
      <c r="AC44">
        <f t="shared" si="16"/>
        <v>0</v>
      </c>
      <c r="AD44">
        <f t="shared" si="17"/>
        <v>0.24003264775506905</v>
      </c>
      <c r="AE44">
        <f t="shared" si="18"/>
        <v>0</v>
      </c>
      <c r="AF44">
        <f t="shared" si="19"/>
        <v>0</v>
      </c>
      <c r="AG44">
        <f t="shared" si="20"/>
        <v>0</v>
      </c>
      <c r="AH44">
        <f t="shared" si="21"/>
        <v>0</v>
      </c>
      <c r="AI44">
        <f t="shared" si="22"/>
        <v>0.24003264775506905</v>
      </c>
      <c r="AJ44" s="15">
        <f t="shared" si="23"/>
        <v>0</v>
      </c>
      <c r="AK44">
        <f t="shared" si="24"/>
        <v>0</v>
      </c>
      <c r="AL44">
        <f t="shared" si="25"/>
        <v>0</v>
      </c>
      <c r="AM44">
        <f t="shared" si="26"/>
        <v>0</v>
      </c>
      <c r="AN44">
        <f t="shared" si="27"/>
        <v>0.24003264775506905</v>
      </c>
      <c r="AO44" s="15">
        <f t="shared" si="28"/>
        <v>0</v>
      </c>
      <c r="AP44">
        <f t="shared" si="29"/>
        <v>0</v>
      </c>
      <c r="AQ44">
        <f t="shared" si="30"/>
        <v>0</v>
      </c>
      <c r="AR44">
        <f t="shared" si="31"/>
        <v>0</v>
      </c>
      <c r="AS44">
        <f t="shared" si="32"/>
        <v>0.24003264775506905</v>
      </c>
      <c r="AT44" s="15">
        <f t="shared" si="33"/>
        <v>0</v>
      </c>
      <c r="AU44">
        <f t="shared" si="34"/>
        <v>0</v>
      </c>
      <c r="AV44">
        <f t="shared" si="35"/>
        <v>0</v>
      </c>
      <c r="AW44">
        <f t="shared" si="36"/>
        <v>0</v>
      </c>
      <c r="AX44">
        <f t="shared" si="37"/>
        <v>0.24003264775506905</v>
      </c>
      <c r="AY44" s="15">
        <f t="shared" si="38"/>
        <v>0</v>
      </c>
      <c r="AZ44">
        <f t="shared" si="39"/>
        <v>0</v>
      </c>
      <c r="BB44">
        <f t="shared" si="2"/>
        <v>0.24003264775506905</v>
      </c>
      <c r="BC44" s="15">
        <f t="shared" si="3"/>
        <v>0</v>
      </c>
      <c r="BD44" s="15"/>
    </row>
    <row r="45" spans="1:56" ht="12.75">
      <c r="A45" s="1" t="s">
        <v>228</v>
      </c>
      <c r="B45" s="1" t="s">
        <v>119</v>
      </c>
      <c r="C45" s="4">
        <v>0.001962543269760776</v>
      </c>
      <c r="D45" s="5">
        <v>0.3945602245293178</v>
      </c>
      <c r="E45" s="129">
        <f t="shared" si="4"/>
        <v>0.0011729425437029888</v>
      </c>
      <c r="F45" s="135">
        <f t="shared" si="50"/>
        <v>16.891123212100098</v>
      </c>
      <c r="G45" s="135">
        <v>42.81</v>
      </c>
      <c r="H45" s="136">
        <f t="shared" si="51"/>
        <v>0.16575475032476641</v>
      </c>
      <c r="I45" s="137">
        <v>0.4201</v>
      </c>
      <c r="J45" s="137">
        <v>0.4201</v>
      </c>
      <c r="K45" s="138">
        <f t="shared" si="5"/>
        <v>0</v>
      </c>
      <c r="L45" s="133">
        <v>0.0011729425437029888</v>
      </c>
      <c r="M45" s="133">
        <f t="shared" si="6"/>
        <v>0.001827281701324715</v>
      </c>
      <c r="N45" s="147">
        <f t="shared" si="7"/>
        <v>547.2609938987706</v>
      </c>
      <c r="O45" s="133">
        <f t="shared" si="8"/>
        <v>0.019371816564579755</v>
      </c>
      <c r="P45" s="4">
        <v>0.001962543269760776</v>
      </c>
      <c r="Q45" s="14">
        <f t="shared" si="52"/>
        <v>0.0026570445364858565</v>
      </c>
      <c r="R45" s="15">
        <f t="shared" si="53"/>
        <v>376.3580121703854</v>
      </c>
      <c r="S45" s="14">
        <f t="shared" si="54"/>
        <v>0.0335967607273943</v>
      </c>
      <c r="T45" s="15">
        <f t="shared" si="55"/>
        <v>3.166293485767808</v>
      </c>
      <c r="U45" s="15">
        <f t="shared" si="56"/>
        <v>7.53699949004477</v>
      </c>
      <c r="V45" s="5">
        <v>0.4932002806616473</v>
      </c>
      <c r="W45" s="15">
        <f t="shared" si="57"/>
        <v>0</v>
      </c>
      <c r="X45" s="15">
        <f t="shared" si="58"/>
        <v>0</v>
      </c>
      <c r="Y45" s="15">
        <f t="shared" si="13"/>
        <v>0.207193437905958</v>
      </c>
      <c r="Z45" s="15">
        <f t="shared" si="14"/>
        <v>0</v>
      </c>
      <c r="AA45" s="15">
        <f t="shared" si="1"/>
        <v>0</v>
      </c>
      <c r="AB45" s="16">
        <f t="shared" si="15"/>
        <v>0</v>
      </c>
      <c r="AC45">
        <f t="shared" si="16"/>
        <v>0</v>
      </c>
      <c r="AD45">
        <f t="shared" si="17"/>
        <v>0.207193437905958</v>
      </c>
      <c r="AE45">
        <f t="shared" si="18"/>
        <v>0</v>
      </c>
      <c r="AF45">
        <f t="shared" si="19"/>
        <v>0</v>
      </c>
      <c r="AG45">
        <f t="shared" si="20"/>
        <v>0</v>
      </c>
      <c r="AH45">
        <f t="shared" si="21"/>
        <v>0</v>
      </c>
      <c r="AI45">
        <f t="shared" si="22"/>
        <v>0.207193437905958</v>
      </c>
      <c r="AJ45" s="15">
        <f t="shared" si="23"/>
        <v>0</v>
      </c>
      <c r="AK45">
        <f t="shared" si="24"/>
        <v>0</v>
      </c>
      <c r="AL45">
        <f t="shared" si="25"/>
        <v>0</v>
      </c>
      <c r="AM45">
        <f t="shared" si="26"/>
        <v>0</v>
      </c>
      <c r="AN45">
        <f t="shared" si="27"/>
        <v>0.207193437905958</v>
      </c>
      <c r="AO45" s="15">
        <f t="shared" si="28"/>
        <v>0</v>
      </c>
      <c r="AP45">
        <f t="shared" si="29"/>
        <v>0</v>
      </c>
      <c r="AQ45">
        <f t="shared" si="30"/>
        <v>0</v>
      </c>
      <c r="AR45">
        <f t="shared" si="31"/>
        <v>0</v>
      </c>
      <c r="AS45">
        <f t="shared" si="32"/>
        <v>0.207193437905958</v>
      </c>
      <c r="AT45" s="15">
        <f t="shared" si="33"/>
        <v>0</v>
      </c>
      <c r="AU45">
        <f t="shared" si="34"/>
        <v>0</v>
      </c>
      <c r="AV45">
        <f t="shared" si="35"/>
        <v>0</v>
      </c>
      <c r="AW45">
        <f t="shared" si="36"/>
        <v>0</v>
      </c>
      <c r="AX45">
        <f t="shared" si="37"/>
        <v>0.207193437905958</v>
      </c>
      <c r="AY45" s="15">
        <f t="shared" si="38"/>
        <v>0</v>
      </c>
      <c r="AZ45">
        <f t="shared" si="39"/>
        <v>0</v>
      </c>
      <c r="BB45">
        <f t="shared" si="2"/>
        <v>0.207193437905958</v>
      </c>
      <c r="BC45" s="15">
        <f t="shared" si="3"/>
        <v>0</v>
      </c>
      <c r="BD45" s="15"/>
    </row>
    <row r="46" spans="1:56" ht="12.75">
      <c r="A46" s="1" t="s">
        <v>32</v>
      </c>
      <c r="B46" s="1" t="s">
        <v>119</v>
      </c>
      <c r="C46" s="4">
        <v>0.00452917566971668</v>
      </c>
      <c r="D46" s="5">
        <v>5.630752849556676</v>
      </c>
      <c r="E46" s="129">
        <f t="shared" si="4"/>
        <v>0.016739015135650372</v>
      </c>
      <c r="F46" s="135">
        <f t="shared" si="50"/>
        <v>38.98149175368538</v>
      </c>
      <c r="G46" s="135">
        <v>6.922962665064317</v>
      </c>
      <c r="H46" s="136">
        <f t="shared" si="51"/>
        <v>0.7376286232919246</v>
      </c>
      <c r="I46" s="137">
        <v>0.131</v>
      </c>
      <c r="J46" s="137">
        <v>0.131</v>
      </c>
      <c r="K46" s="138">
        <f t="shared" si="5"/>
        <v>0</v>
      </c>
      <c r="L46" s="133">
        <v>0.016739015135650372</v>
      </c>
      <c r="M46" s="133">
        <f t="shared" si="6"/>
        <v>0.026077062529429866</v>
      </c>
      <c r="N46" s="147">
        <f t="shared" si="7"/>
        <v>38.34787752153553</v>
      </c>
      <c r="O46" s="133">
        <f t="shared" si="8"/>
        <v>0.0013574291924148521</v>
      </c>
      <c r="P46" s="4">
        <v>0.00452917566971668</v>
      </c>
      <c r="Q46" s="14">
        <f t="shared" si="52"/>
        <v>0.006131952173198345</v>
      </c>
      <c r="R46" s="15">
        <f t="shared" si="53"/>
        <v>163.08020215337285</v>
      </c>
      <c r="S46" s="14">
        <f t="shared" si="54"/>
        <v>0.01455785808710647</v>
      </c>
      <c r="T46" s="15">
        <f t="shared" si="55"/>
        <v>1.3719909369224599</v>
      </c>
      <c r="U46" s="15">
        <f t="shared" si="56"/>
        <v>10.473213258950075</v>
      </c>
      <c r="V46" s="5">
        <v>7.038441061945845</v>
      </c>
      <c r="W46" s="15">
        <f t="shared" si="57"/>
        <v>0</v>
      </c>
      <c r="X46" s="15">
        <f t="shared" si="58"/>
        <v>0</v>
      </c>
      <c r="Y46" s="15">
        <f t="shared" si="13"/>
        <v>0.9220357791149056</v>
      </c>
      <c r="Z46" s="15">
        <f t="shared" si="14"/>
        <v>0</v>
      </c>
      <c r="AA46" s="15">
        <f t="shared" si="1"/>
        <v>0</v>
      </c>
      <c r="AB46" s="16">
        <f t="shared" si="15"/>
        <v>0</v>
      </c>
      <c r="AC46">
        <f t="shared" si="16"/>
        <v>0</v>
      </c>
      <c r="AD46">
        <f t="shared" si="17"/>
        <v>0.9220357791149056</v>
      </c>
      <c r="AE46">
        <f t="shared" si="18"/>
        <v>0</v>
      </c>
      <c r="AF46">
        <f t="shared" si="19"/>
        <v>0</v>
      </c>
      <c r="AG46">
        <f t="shared" si="20"/>
        <v>0</v>
      </c>
      <c r="AH46">
        <f t="shared" si="21"/>
        <v>0</v>
      </c>
      <c r="AI46">
        <f t="shared" si="22"/>
        <v>0.9220357791149056</v>
      </c>
      <c r="AJ46" s="15">
        <f t="shared" si="23"/>
        <v>0</v>
      </c>
      <c r="AK46">
        <f t="shared" si="24"/>
        <v>0</v>
      </c>
      <c r="AL46">
        <f t="shared" si="25"/>
        <v>0</v>
      </c>
      <c r="AM46">
        <f t="shared" si="26"/>
        <v>0</v>
      </c>
      <c r="AN46">
        <f t="shared" si="27"/>
        <v>0.9220357791149056</v>
      </c>
      <c r="AO46" s="15">
        <f t="shared" si="28"/>
        <v>0</v>
      </c>
      <c r="AP46">
        <f t="shared" si="29"/>
        <v>0</v>
      </c>
      <c r="AQ46">
        <f t="shared" si="30"/>
        <v>0</v>
      </c>
      <c r="AR46">
        <f t="shared" si="31"/>
        <v>0</v>
      </c>
      <c r="AS46">
        <f t="shared" si="32"/>
        <v>0.9220357791149056</v>
      </c>
      <c r="AT46" s="15">
        <f t="shared" si="33"/>
        <v>0</v>
      </c>
      <c r="AU46">
        <f t="shared" si="34"/>
        <v>0</v>
      </c>
      <c r="AV46">
        <f t="shared" si="35"/>
        <v>0</v>
      </c>
      <c r="AW46">
        <f t="shared" si="36"/>
        <v>0</v>
      </c>
      <c r="AX46">
        <f t="shared" si="37"/>
        <v>0.9220357791149056</v>
      </c>
      <c r="AY46" s="15">
        <f t="shared" si="38"/>
        <v>0</v>
      </c>
      <c r="AZ46">
        <f t="shared" si="39"/>
        <v>0</v>
      </c>
      <c r="BB46">
        <f t="shared" si="2"/>
        <v>0.9220357791149056</v>
      </c>
      <c r="BC46" s="15">
        <f t="shared" si="3"/>
        <v>0</v>
      </c>
      <c r="BD46" s="15"/>
    </row>
    <row r="47" spans="1:56" ht="12.75">
      <c r="A47" s="1" t="s">
        <v>33</v>
      </c>
      <c r="B47" s="1" t="s">
        <v>119</v>
      </c>
      <c r="C47" s="4">
        <v>0.00418881573145188</v>
      </c>
      <c r="D47" s="5">
        <v>0.7410866613362493</v>
      </c>
      <c r="E47" s="129">
        <f t="shared" si="4"/>
        <v>0.0022030909848782944</v>
      </c>
      <c r="F47" s="135">
        <f t="shared" si="50"/>
        <v>36.05209817430493</v>
      </c>
      <c r="G47" s="135">
        <v>48.64761444943509</v>
      </c>
      <c r="H47" s="136">
        <f t="shared" si="51"/>
        <v>0.327412086978355</v>
      </c>
      <c r="I47" s="137">
        <v>0.4418</v>
      </c>
      <c r="J47" s="137">
        <v>0.4418</v>
      </c>
      <c r="K47" s="138">
        <f t="shared" si="5"/>
        <v>0</v>
      </c>
      <c r="L47" s="133">
        <v>0.0022030909848782944</v>
      </c>
      <c r="M47" s="133">
        <f t="shared" si="6"/>
        <v>0.0034321100079740363</v>
      </c>
      <c r="N47" s="147">
        <f t="shared" si="7"/>
        <v>291.3659520460117</v>
      </c>
      <c r="O47" s="133">
        <f t="shared" si="8"/>
        <v>0.010313703770460078</v>
      </c>
      <c r="P47" s="4">
        <v>0.00418881573145188</v>
      </c>
      <c r="Q47" s="14">
        <f t="shared" si="52"/>
        <v>0.005671146274882846</v>
      </c>
      <c r="R47" s="15">
        <f t="shared" si="53"/>
        <v>176.33119505820858</v>
      </c>
      <c r="S47" s="14">
        <f t="shared" si="54"/>
        <v>0.015740748908154325</v>
      </c>
      <c r="T47" s="15">
        <f t="shared" si="55"/>
        <v>1.483471312410101</v>
      </c>
      <c r="U47" s="15">
        <f t="shared" si="56"/>
        <v>3.3577892992532843</v>
      </c>
      <c r="V47" s="5">
        <v>0.9263583266703117</v>
      </c>
      <c r="W47" s="15">
        <f t="shared" si="57"/>
        <v>0</v>
      </c>
      <c r="X47" s="15">
        <f t="shared" si="58"/>
        <v>0</v>
      </c>
      <c r="Y47" s="15">
        <f t="shared" si="13"/>
        <v>0.40926510872294375</v>
      </c>
      <c r="Z47" s="15">
        <f t="shared" si="14"/>
        <v>0</v>
      </c>
      <c r="AA47" s="15">
        <f t="shared" si="1"/>
        <v>0</v>
      </c>
      <c r="AB47" s="16">
        <f t="shared" si="15"/>
        <v>0</v>
      </c>
      <c r="AC47">
        <f t="shared" si="16"/>
        <v>0</v>
      </c>
      <c r="AD47">
        <f t="shared" si="17"/>
        <v>0.40926510872294375</v>
      </c>
      <c r="AE47">
        <f t="shared" si="18"/>
        <v>0</v>
      </c>
      <c r="AF47">
        <f t="shared" si="19"/>
        <v>0</v>
      </c>
      <c r="AG47">
        <f t="shared" si="20"/>
        <v>0</v>
      </c>
      <c r="AH47">
        <f t="shared" si="21"/>
        <v>0</v>
      </c>
      <c r="AI47">
        <f t="shared" si="22"/>
        <v>0.40926510872294375</v>
      </c>
      <c r="AJ47" s="15">
        <f t="shared" si="23"/>
        <v>0</v>
      </c>
      <c r="AK47">
        <f t="shared" si="24"/>
        <v>0</v>
      </c>
      <c r="AL47">
        <f t="shared" si="25"/>
        <v>0</v>
      </c>
      <c r="AM47">
        <f t="shared" si="26"/>
        <v>0</v>
      </c>
      <c r="AN47">
        <f t="shared" si="27"/>
        <v>0.40926510872294375</v>
      </c>
      <c r="AO47" s="15">
        <f t="shared" si="28"/>
        <v>0</v>
      </c>
      <c r="AP47">
        <f t="shared" si="29"/>
        <v>0</v>
      </c>
      <c r="AQ47">
        <f t="shared" si="30"/>
        <v>0</v>
      </c>
      <c r="AR47">
        <f t="shared" si="31"/>
        <v>0</v>
      </c>
      <c r="AS47">
        <f t="shared" si="32"/>
        <v>0.40926510872294375</v>
      </c>
      <c r="AT47" s="15">
        <f t="shared" si="33"/>
        <v>0</v>
      </c>
      <c r="AU47">
        <f t="shared" si="34"/>
        <v>0</v>
      </c>
      <c r="AV47">
        <f t="shared" si="35"/>
        <v>0</v>
      </c>
      <c r="AW47">
        <f t="shared" si="36"/>
        <v>0</v>
      </c>
      <c r="AX47">
        <f t="shared" si="37"/>
        <v>0.40926510872294375</v>
      </c>
      <c r="AY47" s="15">
        <f t="shared" si="38"/>
        <v>0</v>
      </c>
      <c r="AZ47">
        <f t="shared" si="39"/>
        <v>0</v>
      </c>
      <c r="BB47">
        <f t="shared" si="2"/>
        <v>0.40926510872294375</v>
      </c>
      <c r="BC47" s="15">
        <f t="shared" si="3"/>
        <v>0</v>
      </c>
      <c r="BD47" s="15"/>
    </row>
    <row r="48" spans="1:56" ht="12.75">
      <c r="A48" s="1" t="s">
        <v>34</v>
      </c>
      <c r="B48" s="1" t="s">
        <v>119</v>
      </c>
      <c r="C48" s="4">
        <v>0.003581740987763202</v>
      </c>
      <c r="D48" s="5">
        <v>5.534597084999016</v>
      </c>
      <c r="E48" s="129">
        <f t="shared" si="4"/>
        <v>0.0164531647633618</v>
      </c>
      <c r="F48" s="135">
        <f t="shared" si="50"/>
        <v>30.82715640991291</v>
      </c>
      <c r="G48" s="135">
        <v>5.569900741910717</v>
      </c>
      <c r="H48" s="136">
        <f t="shared" si="51"/>
        <v>0.5827930730503964</v>
      </c>
      <c r="I48" s="137">
        <v>0.1053</v>
      </c>
      <c r="J48" s="137">
        <v>0.1053</v>
      </c>
      <c r="K48" s="138">
        <f t="shared" si="5"/>
        <v>0</v>
      </c>
      <c r="L48" s="133">
        <v>0.0164531647633618</v>
      </c>
      <c r="M48" s="133">
        <f t="shared" si="6"/>
        <v>0.025631747319913495</v>
      </c>
      <c r="N48" s="147">
        <f t="shared" si="7"/>
        <v>39.01411743486924</v>
      </c>
      <c r="O48" s="133">
        <f t="shared" si="8"/>
        <v>0.0013810125969201796</v>
      </c>
      <c r="P48" s="4">
        <v>0.003581740987763202</v>
      </c>
      <c r="Q48" s="14">
        <f t="shared" si="52"/>
        <v>0.004849241017653448</v>
      </c>
      <c r="R48" s="15">
        <f t="shared" si="53"/>
        <v>206.21783828841342</v>
      </c>
      <c r="S48" s="14">
        <f t="shared" si="54"/>
        <v>0.018408672451909296</v>
      </c>
      <c r="T48" s="15">
        <f t="shared" si="55"/>
        <v>1.7349071280728303</v>
      </c>
      <c r="U48" s="15">
        <f t="shared" si="56"/>
        <v>16.475851168782814</v>
      </c>
      <c r="V48" s="5">
        <v>6.91824635624877</v>
      </c>
      <c r="W48" s="15">
        <f t="shared" si="57"/>
        <v>0</v>
      </c>
      <c r="X48" s="15">
        <f t="shared" si="58"/>
        <v>0</v>
      </c>
      <c r="Y48" s="15">
        <f t="shared" si="13"/>
        <v>0.7284913413129955</v>
      </c>
      <c r="Z48" s="15">
        <f t="shared" si="14"/>
        <v>0</v>
      </c>
      <c r="AA48" s="15">
        <f t="shared" si="1"/>
        <v>0</v>
      </c>
      <c r="AB48" s="16">
        <f t="shared" si="15"/>
        <v>0</v>
      </c>
      <c r="AC48">
        <f t="shared" si="16"/>
        <v>0</v>
      </c>
      <c r="AD48">
        <f t="shared" si="17"/>
        <v>0.7284913413129955</v>
      </c>
      <c r="AE48">
        <f t="shared" si="18"/>
        <v>0</v>
      </c>
      <c r="AF48">
        <f t="shared" si="19"/>
        <v>0</v>
      </c>
      <c r="AG48">
        <f t="shared" si="20"/>
        <v>0</v>
      </c>
      <c r="AH48">
        <f t="shared" si="21"/>
        <v>0</v>
      </c>
      <c r="AI48">
        <f t="shared" si="22"/>
        <v>0.7284913413129955</v>
      </c>
      <c r="AJ48" s="15">
        <f t="shared" si="23"/>
        <v>0</v>
      </c>
      <c r="AK48">
        <f t="shared" si="24"/>
        <v>0</v>
      </c>
      <c r="AL48">
        <f t="shared" si="25"/>
        <v>0</v>
      </c>
      <c r="AM48">
        <f t="shared" si="26"/>
        <v>0</v>
      </c>
      <c r="AN48">
        <f t="shared" si="27"/>
        <v>0.7284913413129955</v>
      </c>
      <c r="AO48" s="15">
        <f t="shared" si="28"/>
        <v>0</v>
      </c>
      <c r="AP48">
        <f t="shared" si="29"/>
        <v>0</v>
      </c>
      <c r="AQ48">
        <f t="shared" si="30"/>
        <v>0</v>
      </c>
      <c r="AR48">
        <f t="shared" si="31"/>
        <v>0</v>
      </c>
      <c r="AS48">
        <f t="shared" si="32"/>
        <v>0.7284913413129955</v>
      </c>
      <c r="AT48" s="15">
        <f t="shared" si="33"/>
        <v>0</v>
      </c>
      <c r="AU48">
        <f t="shared" si="34"/>
        <v>0</v>
      </c>
      <c r="AV48">
        <f t="shared" si="35"/>
        <v>0</v>
      </c>
      <c r="AW48">
        <f t="shared" si="36"/>
        <v>0</v>
      </c>
      <c r="AX48">
        <f t="shared" si="37"/>
        <v>0.7284913413129955</v>
      </c>
      <c r="AY48" s="15">
        <f t="shared" si="38"/>
        <v>0</v>
      </c>
      <c r="AZ48">
        <f t="shared" si="39"/>
        <v>0</v>
      </c>
      <c r="BB48">
        <f t="shared" si="2"/>
        <v>0.7284913413129955</v>
      </c>
      <c r="BC48" s="15">
        <f t="shared" si="3"/>
        <v>0</v>
      </c>
      <c r="BD48" s="15"/>
    </row>
    <row r="49" spans="1:56" ht="12.75">
      <c r="A49" s="1" t="s">
        <v>229</v>
      </c>
      <c r="B49" s="1" t="s">
        <v>119</v>
      </c>
      <c r="C49" s="4">
        <v>0.004707317274831882</v>
      </c>
      <c r="D49" s="5">
        <v>6.421438438659125</v>
      </c>
      <c r="E49" s="129">
        <f t="shared" si="4"/>
        <v>0.01908955304721376</v>
      </c>
      <c r="F49" s="135">
        <f t="shared" si="50"/>
        <v>40.51471236979386</v>
      </c>
      <c r="G49" s="135">
        <v>6.3092892280773505</v>
      </c>
      <c r="H49" s="136">
        <f t="shared" si="51"/>
        <v>1.0672430685051466</v>
      </c>
      <c r="I49" s="137">
        <v>0.1662</v>
      </c>
      <c r="J49" s="137">
        <v>0.1662</v>
      </c>
      <c r="K49" s="138">
        <f t="shared" si="5"/>
        <v>0</v>
      </c>
      <c r="L49" s="133">
        <v>0.01908955304721376</v>
      </c>
      <c r="M49" s="133">
        <f t="shared" si="6"/>
        <v>0.02973887438639444</v>
      </c>
      <c r="N49" s="147">
        <f t="shared" si="7"/>
        <v>33.62602050794165</v>
      </c>
      <c r="O49" s="133">
        <f t="shared" si="8"/>
        <v>0.0011902860030933145</v>
      </c>
      <c r="P49" s="4">
        <v>0.004707317274831882</v>
      </c>
      <c r="Q49" s="14">
        <f t="shared" si="52"/>
        <v>0.006373134207696807</v>
      </c>
      <c r="R49" s="15">
        <f t="shared" si="53"/>
        <v>156.9086680761099</v>
      </c>
      <c r="S49" s="14">
        <f t="shared" si="54"/>
        <v>0.014006937030533096</v>
      </c>
      <c r="T49" s="15">
        <f t="shared" si="55"/>
        <v>1.320069926835965</v>
      </c>
      <c r="U49" s="15">
        <f t="shared" si="56"/>
        <v>7.942659006233244</v>
      </c>
      <c r="V49" s="5">
        <v>8.026798048323906</v>
      </c>
      <c r="W49" s="15">
        <f t="shared" si="57"/>
        <v>1.320069926835965</v>
      </c>
      <c r="X49" s="15">
        <f t="shared" si="58"/>
        <v>7.942659006233244</v>
      </c>
      <c r="Y49" s="15">
        <f t="shared" si="13"/>
        <v>0</v>
      </c>
      <c r="Z49" s="15">
        <f t="shared" si="14"/>
        <v>1.320069926835965</v>
      </c>
      <c r="AA49" s="15">
        <f t="shared" si="1"/>
        <v>3.9807550331755848</v>
      </c>
      <c r="AB49" s="16">
        <f t="shared" si="15"/>
        <v>23.951594664113028</v>
      </c>
      <c r="AC49">
        <f t="shared" si="16"/>
        <v>0</v>
      </c>
      <c r="AD49">
        <f t="shared" si="17"/>
        <v>1.334053835631433</v>
      </c>
      <c r="AE49">
        <f t="shared" si="18"/>
        <v>0</v>
      </c>
      <c r="AF49">
        <f t="shared" si="19"/>
        <v>0</v>
      </c>
      <c r="AG49">
        <f t="shared" si="20"/>
        <v>0</v>
      </c>
      <c r="AH49">
        <f t="shared" si="21"/>
        <v>0</v>
      </c>
      <c r="AI49">
        <f t="shared" si="22"/>
        <v>1.334053835631433</v>
      </c>
      <c r="AJ49" s="15">
        <f t="shared" si="23"/>
        <v>0</v>
      </c>
      <c r="AK49">
        <f t="shared" si="24"/>
        <v>0</v>
      </c>
      <c r="AL49">
        <f t="shared" si="25"/>
        <v>0</v>
      </c>
      <c r="AM49">
        <f t="shared" si="26"/>
        <v>0</v>
      </c>
      <c r="AN49">
        <f t="shared" si="27"/>
        <v>1.334053835631433</v>
      </c>
      <c r="AO49" s="15">
        <f t="shared" si="28"/>
        <v>0</v>
      </c>
      <c r="AP49">
        <f t="shared" si="29"/>
        <v>0</v>
      </c>
      <c r="AQ49">
        <f t="shared" si="30"/>
        <v>0</v>
      </c>
      <c r="AR49">
        <f t="shared" si="31"/>
        <v>0</v>
      </c>
      <c r="AS49">
        <f t="shared" si="32"/>
        <v>1.334053835631433</v>
      </c>
      <c r="AT49" s="15">
        <f t="shared" si="33"/>
        <v>0</v>
      </c>
      <c r="AU49">
        <f t="shared" si="34"/>
        <v>0</v>
      </c>
      <c r="AV49">
        <f t="shared" si="35"/>
        <v>0</v>
      </c>
      <c r="AW49">
        <f t="shared" si="36"/>
        <v>0</v>
      </c>
      <c r="AX49">
        <f t="shared" si="37"/>
        <v>1.334053835631433</v>
      </c>
      <c r="AY49" s="15">
        <f t="shared" si="38"/>
        <v>0</v>
      </c>
      <c r="AZ49">
        <f t="shared" si="39"/>
        <v>0</v>
      </c>
      <c r="BB49">
        <f t="shared" si="2"/>
        <v>1.334053835631433</v>
      </c>
      <c r="BC49" s="15">
        <f t="shared" si="3"/>
        <v>0</v>
      </c>
      <c r="BD49" s="15"/>
    </row>
    <row r="50" spans="1:56" ht="12.75">
      <c r="A50" s="1" t="s">
        <v>223</v>
      </c>
      <c r="B50" s="3"/>
      <c r="C50" s="4">
        <v>0.02208342167346489</v>
      </c>
      <c r="D50" s="5"/>
      <c r="E50" s="129"/>
      <c r="F50" s="135">
        <f>SUM(F51:F52)</f>
        <v>190.0659613989373</v>
      </c>
      <c r="G50" s="128"/>
      <c r="H50" s="136">
        <f>SUM(H51:H52)</f>
        <v>5.684903962933633</v>
      </c>
      <c r="I50" s="137"/>
      <c r="J50" s="137"/>
      <c r="K50" s="138">
        <f t="shared" si="5"/>
        <v>0</v>
      </c>
      <c r="L50" s="133"/>
      <c r="M50" s="133"/>
      <c r="N50" s="147"/>
      <c r="O50" s="133"/>
      <c r="P50" s="4"/>
      <c r="Q50" s="14"/>
      <c r="R50" s="15"/>
      <c r="S50" s="14"/>
      <c r="U50" s="15"/>
      <c r="V50" s="5"/>
      <c r="Y50" s="15">
        <f t="shared" si="13"/>
        <v>0</v>
      </c>
      <c r="Z50" s="15">
        <f t="shared" si="14"/>
        <v>0</v>
      </c>
      <c r="AA50" s="15">
        <f t="shared" si="1"/>
        <v>0</v>
      </c>
      <c r="AB50" s="16">
        <f t="shared" si="15"/>
        <v>0</v>
      </c>
      <c r="AC50">
        <f t="shared" si="16"/>
        <v>0</v>
      </c>
      <c r="AD50">
        <f t="shared" si="17"/>
        <v>0</v>
      </c>
      <c r="AE50">
        <f t="shared" si="18"/>
        <v>0</v>
      </c>
      <c r="AF50">
        <f t="shared" si="19"/>
        <v>0</v>
      </c>
      <c r="AG50">
        <f t="shared" si="20"/>
        <v>0</v>
      </c>
      <c r="AH50">
        <f t="shared" si="21"/>
        <v>0</v>
      </c>
      <c r="AI50">
        <f t="shared" si="22"/>
        <v>0</v>
      </c>
      <c r="AJ50" s="15">
        <f t="shared" si="23"/>
        <v>0</v>
      </c>
      <c r="AK50">
        <f t="shared" si="24"/>
        <v>0</v>
      </c>
      <c r="AL50">
        <f t="shared" si="25"/>
        <v>0</v>
      </c>
      <c r="AM50">
        <f t="shared" si="26"/>
        <v>0</v>
      </c>
      <c r="AN50">
        <f t="shared" si="27"/>
        <v>0</v>
      </c>
      <c r="AO50" s="15">
        <f t="shared" si="28"/>
        <v>0</v>
      </c>
      <c r="AP50">
        <f t="shared" si="29"/>
        <v>0</v>
      </c>
      <c r="AQ50">
        <f t="shared" si="30"/>
        <v>0</v>
      </c>
      <c r="AR50">
        <f t="shared" si="31"/>
        <v>0</v>
      </c>
      <c r="AS50">
        <f t="shared" si="32"/>
        <v>0</v>
      </c>
      <c r="AT50" s="15">
        <f t="shared" si="33"/>
        <v>0</v>
      </c>
      <c r="AU50">
        <f t="shared" si="34"/>
        <v>0</v>
      </c>
      <c r="AV50">
        <f t="shared" si="35"/>
        <v>0</v>
      </c>
      <c r="AW50">
        <f t="shared" si="36"/>
        <v>0</v>
      </c>
      <c r="AX50">
        <f t="shared" si="37"/>
        <v>0</v>
      </c>
      <c r="AY50" s="15">
        <f t="shared" si="38"/>
        <v>0</v>
      </c>
      <c r="AZ50">
        <f t="shared" si="39"/>
        <v>0</v>
      </c>
      <c r="BB50">
        <f t="shared" si="2"/>
        <v>0</v>
      </c>
      <c r="BC50" s="15">
        <f t="shared" si="3"/>
        <v>0</v>
      </c>
      <c r="BD50" s="15">
        <f>SUM(BB51:BC52)</f>
        <v>1.7784180460551435</v>
      </c>
    </row>
    <row r="51" spans="1:56" ht="12.75">
      <c r="A51" s="1" t="s">
        <v>230</v>
      </c>
      <c r="B51" s="1" t="s">
        <v>119</v>
      </c>
      <c r="C51" s="4">
        <v>0.02108042167346489</v>
      </c>
      <c r="D51" s="5">
        <v>10.158214854186662</v>
      </c>
      <c r="E51" s="129">
        <f t="shared" si="4"/>
        <v>0.030198184281664316</v>
      </c>
      <c r="F51" s="135">
        <f>G51*$D51</f>
        <v>181.4339613989373</v>
      </c>
      <c r="G51" s="135">
        <v>17.860811570072286</v>
      </c>
      <c r="H51" s="136">
        <f>I51*$D51</f>
        <v>5.46004048412533</v>
      </c>
      <c r="I51" s="137">
        <v>0.5375</v>
      </c>
      <c r="J51" s="137">
        <v>0.5375</v>
      </c>
      <c r="K51" s="138">
        <f t="shared" si="5"/>
        <v>0</v>
      </c>
      <c r="L51" s="133">
        <v>0.030198184281664316</v>
      </c>
      <c r="M51" s="133">
        <f t="shared" si="6"/>
        <v>0.047044580186264943</v>
      </c>
      <c r="N51" s="147">
        <f t="shared" si="7"/>
        <v>21.25643370693652</v>
      </c>
      <c r="O51" s="133">
        <f t="shared" si="8"/>
        <v>0.0007524302648620566</v>
      </c>
      <c r="P51" s="4">
        <v>0.02108042167346489</v>
      </c>
      <c r="Q51" s="14">
        <f>P51/$P$7</f>
        <v>0.028540323210873946</v>
      </c>
      <c r="R51" s="15">
        <f t="shared" si="53"/>
        <v>35.03814559531677</v>
      </c>
      <c r="S51" s="14">
        <f t="shared" si="54"/>
        <v>0.003127788318120175</v>
      </c>
      <c r="T51" s="15">
        <f t="shared" si="55"/>
        <v>0.294775316492027</v>
      </c>
      <c r="U51" s="15">
        <f t="shared" si="56"/>
        <v>0.5484191934735386</v>
      </c>
      <c r="V51" s="5">
        <v>12.697768567733327</v>
      </c>
      <c r="W51" s="15">
        <f t="shared" si="57"/>
        <v>0.294775316492027</v>
      </c>
      <c r="X51" s="15">
        <f t="shared" si="58"/>
        <v>0.5484191934735386</v>
      </c>
      <c r="Y51" s="15">
        <f t="shared" si="13"/>
        <v>0</v>
      </c>
      <c r="Z51" s="15">
        <f t="shared" si="14"/>
        <v>0.294775316492027</v>
      </c>
      <c r="AA51" s="15">
        <f t="shared" si="1"/>
        <v>0.888913762011166</v>
      </c>
      <c r="AB51" s="16">
        <f t="shared" si="15"/>
        <v>1.6537930456021694</v>
      </c>
      <c r="AC51">
        <f t="shared" si="16"/>
        <v>1.6537930456021694</v>
      </c>
      <c r="AD51">
        <f t="shared" si="17"/>
        <v>0</v>
      </c>
      <c r="AE51">
        <f t="shared" si="18"/>
        <v>0.888913762011166</v>
      </c>
      <c r="AF51">
        <f t="shared" si="19"/>
        <v>1.5639717412524763</v>
      </c>
      <c r="AG51">
        <f t="shared" si="20"/>
        <v>2.9097148674464677</v>
      </c>
      <c r="AH51">
        <f t="shared" si="21"/>
        <v>2.9097148674464677</v>
      </c>
      <c r="AI51">
        <f t="shared" si="22"/>
        <v>0</v>
      </c>
      <c r="AJ51" s="15">
        <f t="shared" si="23"/>
        <v>1.5639717412524763</v>
      </c>
      <c r="AK51">
        <f t="shared" si="24"/>
        <v>1.7675521903210891</v>
      </c>
      <c r="AL51">
        <f t="shared" si="25"/>
        <v>3.2884691912950497</v>
      </c>
      <c r="AM51">
        <f t="shared" si="26"/>
        <v>3.2884691912950497</v>
      </c>
      <c r="AN51">
        <f t="shared" si="27"/>
        <v>0</v>
      </c>
      <c r="AO51" s="15">
        <f t="shared" si="28"/>
        <v>1.7675521903210891</v>
      </c>
      <c r="AP51">
        <f t="shared" si="29"/>
        <v>1.7784180460551442</v>
      </c>
      <c r="AQ51">
        <f t="shared" si="30"/>
        <v>3.30868473684678</v>
      </c>
      <c r="AR51">
        <f t="shared" si="31"/>
        <v>3.30868473684678</v>
      </c>
      <c r="AS51">
        <f t="shared" si="32"/>
        <v>0</v>
      </c>
      <c r="AT51" s="15">
        <f t="shared" si="33"/>
        <v>1.7784180460551442</v>
      </c>
      <c r="AU51">
        <f t="shared" si="34"/>
        <v>1.7784180460551435</v>
      </c>
      <c r="AV51">
        <f t="shared" si="35"/>
        <v>3.3086847368467787</v>
      </c>
      <c r="AW51">
        <f t="shared" si="36"/>
        <v>3.3086847368467787</v>
      </c>
      <c r="AX51">
        <f t="shared" si="37"/>
        <v>0</v>
      </c>
      <c r="AY51" s="15">
        <f t="shared" si="38"/>
        <v>1.7784180460551435</v>
      </c>
      <c r="AZ51">
        <f t="shared" si="39"/>
        <v>1.7784180460551435</v>
      </c>
      <c r="BB51">
        <f t="shared" si="2"/>
        <v>0</v>
      </c>
      <c r="BC51" s="15">
        <f t="shared" si="3"/>
        <v>1.7784180460551435</v>
      </c>
      <c r="BD51" s="15"/>
    </row>
    <row r="52" spans="1:56" ht="12.75">
      <c r="A52" s="1" t="s">
        <v>35</v>
      </c>
      <c r="B52" s="8" t="s">
        <v>124</v>
      </c>
      <c r="C52" s="9">
        <v>0.001003</v>
      </c>
      <c r="D52" s="10">
        <v>0.6801678124873021</v>
      </c>
      <c r="E52" s="129">
        <f t="shared" si="4"/>
        <v>0.0020219923715713347</v>
      </c>
      <c r="F52" s="135">
        <f>G52*$D52</f>
        <v>8.632</v>
      </c>
      <c r="G52" s="139">
        <v>12.690985726645437</v>
      </c>
      <c r="H52" s="136">
        <f>I52*$D52</f>
        <v>0.22486347880830207</v>
      </c>
      <c r="I52" s="137">
        <v>0.3306</v>
      </c>
      <c r="J52" s="137">
        <v>0.3306</v>
      </c>
      <c r="K52" s="138">
        <f t="shared" si="5"/>
        <v>0</v>
      </c>
      <c r="L52" s="133"/>
      <c r="M52" s="133"/>
      <c r="N52" s="147"/>
      <c r="O52" s="133"/>
      <c r="P52" s="9"/>
      <c r="Q52" s="14"/>
      <c r="R52" s="15"/>
      <c r="S52" s="14"/>
      <c r="U52" s="15">
        <f t="shared" si="56"/>
        <v>0</v>
      </c>
      <c r="V52" s="10"/>
      <c r="W52" s="15">
        <f t="shared" si="57"/>
        <v>0</v>
      </c>
      <c r="X52" s="15">
        <f t="shared" si="58"/>
        <v>0</v>
      </c>
      <c r="Y52" s="15">
        <f t="shared" si="13"/>
        <v>0</v>
      </c>
      <c r="Z52" s="15">
        <f t="shared" si="14"/>
        <v>0</v>
      </c>
      <c r="AA52" s="15">
        <f t="shared" si="1"/>
        <v>0</v>
      </c>
      <c r="AB52" s="16">
        <f t="shared" si="15"/>
        <v>0</v>
      </c>
      <c r="AC52">
        <f t="shared" si="16"/>
        <v>0</v>
      </c>
      <c r="AD52">
        <f t="shared" si="17"/>
        <v>0</v>
      </c>
      <c r="AE52">
        <f t="shared" si="18"/>
        <v>0</v>
      </c>
      <c r="AF52">
        <f t="shared" si="19"/>
        <v>0</v>
      </c>
      <c r="AG52">
        <f t="shared" si="20"/>
        <v>0</v>
      </c>
      <c r="AH52">
        <f t="shared" si="21"/>
        <v>0</v>
      </c>
      <c r="AI52">
        <f t="shared" si="22"/>
        <v>0</v>
      </c>
      <c r="AJ52" s="15">
        <f t="shared" si="23"/>
        <v>0</v>
      </c>
      <c r="AK52">
        <f t="shared" si="24"/>
        <v>0</v>
      </c>
      <c r="AL52">
        <f t="shared" si="25"/>
        <v>0</v>
      </c>
      <c r="AM52">
        <f t="shared" si="26"/>
        <v>0</v>
      </c>
      <c r="AN52">
        <f t="shared" si="27"/>
        <v>0</v>
      </c>
      <c r="AO52" s="15">
        <f t="shared" si="28"/>
        <v>0</v>
      </c>
      <c r="AP52">
        <f t="shared" si="29"/>
        <v>0</v>
      </c>
      <c r="AQ52">
        <f t="shared" si="30"/>
        <v>0</v>
      </c>
      <c r="AR52">
        <f t="shared" si="31"/>
        <v>0</v>
      </c>
      <c r="AS52">
        <f t="shared" si="32"/>
        <v>0</v>
      </c>
      <c r="AT52" s="15">
        <f t="shared" si="33"/>
        <v>0</v>
      </c>
      <c r="AU52">
        <f t="shared" si="34"/>
        <v>0</v>
      </c>
      <c r="AV52">
        <f t="shared" si="35"/>
        <v>0</v>
      </c>
      <c r="AW52">
        <f t="shared" si="36"/>
        <v>0</v>
      </c>
      <c r="AX52">
        <f t="shared" si="37"/>
        <v>0</v>
      </c>
      <c r="AY52" s="15">
        <f t="shared" si="38"/>
        <v>0</v>
      </c>
      <c r="AZ52">
        <f t="shared" si="39"/>
        <v>0</v>
      </c>
      <c r="BB52">
        <f t="shared" si="2"/>
        <v>0</v>
      </c>
      <c r="BC52" s="15">
        <f t="shared" si="3"/>
        <v>0</v>
      </c>
      <c r="BD52" s="15"/>
    </row>
    <row r="53" spans="1:56" ht="12.75">
      <c r="A53" s="1" t="s">
        <v>36</v>
      </c>
      <c r="B53" s="3"/>
      <c r="C53" s="4">
        <v>0.0183854078932863</v>
      </c>
      <c r="D53" s="5"/>
      <c r="E53" s="129"/>
      <c r="F53" s="135">
        <f>SUM(F54:F55)</f>
        <v>158.23864615635762</v>
      </c>
      <c r="G53" s="128"/>
      <c r="H53" s="136">
        <f>SUM(H54:H55)</f>
        <v>4.3046844603477</v>
      </c>
      <c r="I53" s="137"/>
      <c r="J53" s="137"/>
      <c r="K53" s="138">
        <f t="shared" si="5"/>
        <v>0</v>
      </c>
      <c r="L53" s="133"/>
      <c r="M53" s="133"/>
      <c r="N53" s="147"/>
      <c r="O53" s="133"/>
      <c r="P53" s="4"/>
      <c r="Q53" s="14"/>
      <c r="R53" s="15"/>
      <c r="S53" s="14"/>
      <c r="U53" s="15"/>
      <c r="V53" s="5"/>
      <c r="X53" s="15">
        <f t="shared" si="58"/>
        <v>0</v>
      </c>
      <c r="Y53" s="15">
        <f t="shared" si="13"/>
        <v>0</v>
      </c>
      <c r="Z53" s="15">
        <f t="shared" si="14"/>
        <v>0</v>
      </c>
      <c r="AA53" s="15">
        <f t="shared" si="1"/>
        <v>0</v>
      </c>
      <c r="AB53" s="16">
        <f t="shared" si="15"/>
        <v>0</v>
      </c>
      <c r="AC53">
        <f t="shared" si="16"/>
        <v>0</v>
      </c>
      <c r="AD53">
        <f t="shared" si="17"/>
        <v>0</v>
      </c>
      <c r="AE53">
        <f t="shared" si="18"/>
        <v>0</v>
      </c>
      <c r="AF53">
        <f t="shared" si="19"/>
        <v>0</v>
      </c>
      <c r="AG53">
        <f t="shared" si="20"/>
        <v>0</v>
      </c>
      <c r="AH53">
        <f t="shared" si="21"/>
        <v>0</v>
      </c>
      <c r="AI53">
        <f t="shared" si="22"/>
        <v>0</v>
      </c>
      <c r="AJ53" s="15">
        <f t="shared" si="23"/>
        <v>0</v>
      </c>
      <c r="AK53">
        <f t="shared" si="24"/>
        <v>0</v>
      </c>
      <c r="AL53">
        <f t="shared" si="25"/>
        <v>0</v>
      </c>
      <c r="AM53">
        <f t="shared" si="26"/>
        <v>0</v>
      </c>
      <c r="AN53">
        <f t="shared" si="27"/>
        <v>0</v>
      </c>
      <c r="AO53" s="15">
        <f t="shared" si="28"/>
        <v>0</v>
      </c>
      <c r="AP53">
        <f t="shared" si="29"/>
        <v>0</v>
      </c>
      <c r="AQ53">
        <f t="shared" si="30"/>
        <v>0</v>
      </c>
      <c r="AR53">
        <f t="shared" si="31"/>
        <v>0</v>
      </c>
      <c r="AS53">
        <f t="shared" si="32"/>
        <v>0</v>
      </c>
      <c r="AT53" s="15">
        <f t="shared" si="33"/>
        <v>0</v>
      </c>
      <c r="AU53">
        <f t="shared" si="34"/>
        <v>0</v>
      </c>
      <c r="AV53">
        <f t="shared" si="35"/>
        <v>0</v>
      </c>
      <c r="AW53">
        <f t="shared" si="36"/>
        <v>0</v>
      </c>
      <c r="AX53">
        <f t="shared" si="37"/>
        <v>0</v>
      </c>
      <c r="AY53" s="15">
        <f t="shared" si="38"/>
        <v>0</v>
      </c>
      <c r="AZ53">
        <f t="shared" si="39"/>
        <v>0</v>
      </c>
      <c r="BB53">
        <f t="shared" si="2"/>
        <v>0</v>
      </c>
      <c r="BC53" s="15">
        <f t="shared" si="3"/>
        <v>0</v>
      </c>
      <c r="BD53" s="15">
        <f>SUM(BB54:BC55)</f>
        <v>5.112626557783846</v>
      </c>
    </row>
    <row r="54" spans="1:56" ht="12.75">
      <c r="A54" s="1" t="s">
        <v>231</v>
      </c>
      <c r="B54" s="1" t="s">
        <v>119</v>
      </c>
      <c r="C54" s="4">
        <v>0.014693199206261713</v>
      </c>
      <c r="D54" s="5">
        <v>1.1916879004222345</v>
      </c>
      <c r="E54" s="129">
        <f t="shared" si="4"/>
        <v>0.003542631391415045</v>
      </c>
      <c r="F54" s="135">
        <f>G54*$D54</f>
        <v>126.46072165489142</v>
      </c>
      <c r="G54" s="135">
        <v>106.11899441966669</v>
      </c>
      <c r="H54" s="136">
        <f>I54*$D54</f>
        <v>2.255788906428402</v>
      </c>
      <c r="I54" s="137">
        <v>1.8929359823399559</v>
      </c>
      <c r="J54" s="137">
        <v>1.8929359823399559</v>
      </c>
      <c r="K54" s="138">
        <f t="shared" si="5"/>
        <v>0</v>
      </c>
      <c r="L54" s="133">
        <v>0.003542631391415045</v>
      </c>
      <c r="M54" s="133">
        <f t="shared" si="6"/>
        <v>0.005518928059028958</v>
      </c>
      <c r="N54" s="147">
        <f t="shared" si="7"/>
        <v>181.19460687007896</v>
      </c>
      <c r="O54" s="133">
        <f t="shared" si="8"/>
        <v>0.0064138842817428815</v>
      </c>
      <c r="P54" s="4">
        <v>0.014693199206261713</v>
      </c>
      <c r="Q54" s="14">
        <f>P54/$P$7</f>
        <v>0.019892801996286607</v>
      </c>
      <c r="R54" s="15">
        <f t="shared" si="53"/>
        <v>50.26943917637496</v>
      </c>
      <c r="S54" s="14">
        <f t="shared" si="54"/>
        <v>0.004487456797237981</v>
      </c>
      <c r="T54" s="15">
        <f t="shared" si="55"/>
        <v>0.4229159275219531</v>
      </c>
      <c r="U54" s="15">
        <f t="shared" si="56"/>
        <v>0.2234179768716557</v>
      </c>
      <c r="V54" s="5">
        <v>1.4896098755277931</v>
      </c>
      <c r="W54" s="15">
        <f t="shared" si="57"/>
        <v>0.4229159275219531</v>
      </c>
      <c r="X54" s="15">
        <f t="shared" si="58"/>
        <v>0.2234179768716557</v>
      </c>
      <c r="Y54" s="15">
        <f t="shared" si="13"/>
        <v>0</v>
      </c>
      <c r="Z54" s="15">
        <f t="shared" si="14"/>
        <v>0.4229159275219531</v>
      </c>
      <c r="AA54" s="15">
        <f t="shared" si="1"/>
        <v>1.275329944928239</v>
      </c>
      <c r="AB54" s="16">
        <f t="shared" si="15"/>
        <v>0.6737311545801659</v>
      </c>
      <c r="AC54">
        <f t="shared" si="16"/>
        <v>0.6737311545801659</v>
      </c>
      <c r="AD54">
        <f t="shared" si="17"/>
        <v>0</v>
      </c>
      <c r="AE54">
        <f t="shared" si="18"/>
        <v>1.275329944928239</v>
      </c>
      <c r="AF54">
        <f t="shared" si="19"/>
        <v>2.243839706259141</v>
      </c>
      <c r="AG54">
        <f t="shared" si="20"/>
        <v>1.18537537835031</v>
      </c>
      <c r="AH54">
        <f t="shared" si="21"/>
        <v>1.18537537835031</v>
      </c>
      <c r="AI54">
        <f t="shared" si="22"/>
        <v>0</v>
      </c>
      <c r="AJ54" s="15">
        <f t="shared" si="23"/>
        <v>2.243839706259141</v>
      </c>
      <c r="AK54">
        <f t="shared" si="24"/>
        <v>2.5359178065145835</v>
      </c>
      <c r="AL54">
        <f t="shared" si="25"/>
        <v>1.3396743630916692</v>
      </c>
      <c r="AM54">
        <f t="shared" si="26"/>
        <v>1.3396743630916692</v>
      </c>
      <c r="AN54">
        <f t="shared" si="27"/>
        <v>0</v>
      </c>
      <c r="AO54" s="15">
        <f t="shared" si="28"/>
        <v>2.5359178065145835</v>
      </c>
      <c r="AP54">
        <f t="shared" si="29"/>
        <v>2.551507115384724</v>
      </c>
      <c r="AQ54">
        <f t="shared" si="30"/>
        <v>1.3479098813635917</v>
      </c>
      <c r="AR54">
        <f t="shared" si="31"/>
        <v>1.3479098813635917</v>
      </c>
      <c r="AS54">
        <f t="shared" si="32"/>
        <v>0</v>
      </c>
      <c r="AT54" s="15">
        <f t="shared" si="33"/>
        <v>2.551507115384724</v>
      </c>
      <c r="AU54">
        <f t="shared" si="34"/>
        <v>2.551507115384723</v>
      </c>
      <c r="AV54">
        <f t="shared" si="35"/>
        <v>1.3479098813635912</v>
      </c>
      <c r="AW54">
        <f t="shared" si="36"/>
        <v>1.3479098813635912</v>
      </c>
      <c r="AX54">
        <f t="shared" si="37"/>
        <v>0</v>
      </c>
      <c r="AY54" s="15">
        <f t="shared" si="38"/>
        <v>2.551507115384723</v>
      </c>
      <c r="AZ54">
        <f t="shared" si="39"/>
        <v>2.551507115384723</v>
      </c>
      <c r="BB54">
        <f t="shared" si="2"/>
        <v>0</v>
      </c>
      <c r="BC54" s="15">
        <f t="shared" si="3"/>
        <v>2.551507115384723</v>
      </c>
      <c r="BD54" s="15"/>
    </row>
    <row r="55" spans="1:56" ht="12.75">
      <c r="A55" s="1" t="s">
        <v>37</v>
      </c>
      <c r="B55" s="1" t="s">
        <v>125</v>
      </c>
      <c r="C55" s="4">
        <v>0.003692208687024584</v>
      </c>
      <c r="D55" s="5">
        <v>5.855660342724488</v>
      </c>
      <c r="E55" s="129">
        <f t="shared" si="4"/>
        <v>0.01740761665890025</v>
      </c>
      <c r="F55" s="135">
        <f>G55*$D55</f>
        <v>31.777924501466217</v>
      </c>
      <c r="G55" s="135">
        <v>5.426872912966937</v>
      </c>
      <c r="H55" s="136">
        <f>I55*$D55</f>
        <v>2.0488955539192983</v>
      </c>
      <c r="I55" s="137">
        <v>0.3499</v>
      </c>
      <c r="J55" s="137">
        <v>0.3499</v>
      </c>
      <c r="K55" s="138">
        <f t="shared" si="5"/>
        <v>0</v>
      </c>
      <c r="L55" s="133">
        <v>0.01740761665890025</v>
      </c>
      <c r="M55" s="133">
        <f t="shared" si="6"/>
        <v>0.02711865091367872</v>
      </c>
      <c r="N55" s="147">
        <f t="shared" si="7"/>
        <v>36.87499069120718</v>
      </c>
      <c r="O55" s="133">
        <f t="shared" si="8"/>
        <v>0.001305292289153693</v>
      </c>
      <c r="P55" s="4">
        <v>0.003692208687024584</v>
      </c>
      <c r="Q55" s="14">
        <f>P55/$P$7</f>
        <v>0.004998800826755846</v>
      </c>
      <c r="R55" s="15">
        <f t="shared" si="53"/>
        <v>200.04797843665764</v>
      </c>
      <c r="S55" s="14">
        <f t="shared" si="54"/>
        <v>0.017857900850248395</v>
      </c>
      <c r="T55" s="15">
        <f t="shared" si="55"/>
        <v>1.6830002032167426</v>
      </c>
      <c r="U55" s="15">
        <f t="shared" si="56"/>
        <v>4.80994627955628</v>
      </c>
      <c r="V55" s="5">
        <v>7.31957542840561</v>
      </c>
      <c r="W55" s="15">
        <f t="shared" si="57"/>
        <v>1.6830002032167424</v>
      </c>
      <c r="X55" s="15">
        <f t="shared" si="58"/>
        <v>4.80994627955628</v>
      </c>
      <c r="Y55" s="15">
        <f t="shared" si="13"/>
        <v>0</v>
      </c>
      <c r="Z55" s="15">
        <f t="shared" si="14"/>
        <v>1.6830002032167424</v>
      </c>
      <c r="AA55" s="15">
        <f t="shared" si="1"/>
        <v>5.075194422350543</v>
      </c>
      <c r="AB55" s="16">
        <f t="shared" si="15"/>
        <v>14.50469969234222</v>
      </c>
      <c r="AC55">
        <f t="shared" si="16"/>
        <v>0</v>
      </c>
      <c r="AD55">
        <f t="shared" si="17"/>
        <v>2.561119442399123</v>
      </c>
      <c r="AE55">
        <f t="shared" si="18"/>
        <v>0</v>
      </c>
      <c r="AF55">
        <f t="shared" si="19"/>
        <v>0</v>
      </c>
      <c r="AG55">
        <f t="shared" si="20"/>
        <v>0</v>
      </c>
      <c r="AH55">
        <f t="shared" si="21"/>
        <v>0</v>
      </c>
      <c r="AI55">
        <f t="shared" si="22"/>
        <v>2.561119442399123</v>
      </c>
      <c r="AJ55" s="15">
        <f t="shared" si="23"/>
        <v>0</v>
      </c>
      <c r="AK55">
        <f t="shared" si="24"/>
        <v>0</v>
      </c>
      <c r="AL55">
        <f t="shared" si="25"/>
        <v>0</v>
      </c>
      <c r="AM55">
        <f t="shared" si="26"/>
        <v>0</v>
      </c>
      <c r="AN55">
        <f t="shared" si="27"/>
        <v>2.561119442399123</v>
      </c>
      <c r="AO55" s="15">
        <f t="shared" si="28"/>
        <v>0</v>
      </c>
      <c r="AP55">
        <f t="shared" si="29"/>
        <v>0</v>
      </c>
      <c r="AQ55">
        <f t="shared" si="30"/>
        <v>0</v>
      </c>
      <c r="AR55">
        <f t="shared" si="31"/>
        <v>0</v>
      </c>
      <c r="AS55">
        <f t="shared" si="32"/>
        <v>2.561119442399123</v>
      </c>
      <c r="AT55" s="15">
        <f t="shared" si="33"/>
        <v>0</v>
      </c>
      <c r="AU55">
        <f t="shared" si="34"/>
        <v>0</v>
      </c>
      <c r="AV55">
        <f t="shared" si="35"/>
        <v>0</v>
      </c>
      <c r="AW55">
        <f t="shared" si="36"/>
        <v>0</v>
      </c>
      <c r="AX55">
        <f t="shared" si="37"/>
        <v>2.561119442399123</v>
      </c>
      <c r="AY55" s="15">
        <f t="shared" si="38"/>
        <v>0</v>
      </c>
      <c r="AZ55">
        <f t="shared" si="39"/>
        <v>0</v>
      </c>
      <c r="BB55">
        <f t="shared" si="2"/>
        <v>2.561119442399123</v>
      </c>
      <c r="BC55" s="15">
        <f t="shared" si="3"/>
        <v>0</v>
      </c>
      <c r="BD55" s="15"/>
    </row>
    <row r="56" spans="1:56" ht="12.75">
      <c r="A56" s="1" t="s">
        <v>38</v>
      </c>
      <c r="B56" s="3"/>
      <c r="C56" s="4">
        <v>0.002779606162495866</v>
      </c>
      <c r="D56" s="5"/>
      <c r="E56" s="129"/>
      <c r="F56" s="135">
        <f>SUM(F57)</f>
        <v>23.92338089827362</v>
      </c>
      <c r="G56" s="128"/>
      <c r="H56" s="136">
        <f>SUM(H57)</f>
        <v>0.33800579201930386</v>
      </c>
      <c r="I56" s="137"/>
      <c r="J56" s="137"/>
      <c r="K56" s="138">
        <f t="shared" si="5"/>
        <v>0</v>
      </c>
      <c r="L56" s="133"/>
      <c r="M56" s="133"/>
      <c r="N56" s="147"/>
      <c r="O56" s="133"/>
      <c r="P56" s="4"/>
      <c r="Q56" s="14"/>
      <c r="R56" s="15"/>
      <c r="S56" s="14"/>
      <c r="U56" s="15"/>
      <c r="V56" s="5"/>
      <c r="Y56" s="15">
        <f t="shared" si="13"/>
        <v>0</v>
      </c>
      <c r="Z56" s="15">
        <f t="shared" si="14"/>
        <v>0</v>
      </c>
      <c r="AA56" s="15">
        <f t="shared" si="1"/>
        <v>0</v>
      </c>
      <c r="AB56" s="16">
        <f t="shared" si="15"/>
        <v>0</v>
      </c>
      <c r="AC56">
        <f t="shared" si="16"/>
        <v>0</v>
      </c>
      <c r="AD56">
        <f t="shared" si="17"/>
        <v>0</v>
      </c>
      <c r="AE56">
        <f t="shared" si="18"/>
        <v>0</v>
      </c>
      <c r="AF56">
        <f t="shared" si="19"/>
        <v>0</v>
      </c>
      <c r="AG56">
        <f t="shared" si="20"/>
        <v>0</v>
      </c>
      <c r="AH56">
        <f t="shared" si="21"/>
        <v>0</v>
      </c>
      <c r="AI56">
        <f t="shared" si="22"/>
        <v>0</v>
      </c>
      <c r="AJ56" s="15">
        <f t="shared" si="23"/>
        <v>0</v>
      </c>
      <c r="AK56">
        <f t="shared" si="24"/>
        <v>0</v>
      </c>
      <c r="AL56">
        <f t="shared" si="25"/>
        <v>0</v>
      </c>
      <c r="AM56">
        <f t="shared" si="26"/>
        <v>0</v>
      </c>
      <c r="AN56">
        <f t="shared" si="27"/>
        <v>0</v>
      </c>
      <c r="AO56" s="15">
        <f t="shared" si="28"/>
        <v>0</v>
      </c>
      <c r="AP56">
        <f t="shared" si="29"/>
        <v>0</v>
      </c>
      <c r="AQ56">
        <f t="shared" si="30"/>
        <v>0</v>
      </c>
      <c r="AR56">
        <f t="shared" si="31"/>
        <v>0</v>
      </c>
      <c r="AS56">
        <f t="shared" si="32"/>
        <v>0</v>
      </c>
      <c r="AT56" s="15">
        <f t="shared" si="33"/>
        <v>0</v>
      </c>
      <c r="AU56">
        <f t="shared" si="34"/>
        <v>0</v>
      </c>
      <c r="AV56">
        <f t="shared" si="35"/>
        <v>0</v>
      </c>
      <c r="AW56">
        <f t="shared" si="36"/>
        <v>0</v>
      </c>
      <c r="AX56">
        <f t="shared" si="37"/>
        <v>0</v>
      </c>
      <c r="AY56" s="15">
        <f t="shared" si="38"/>
        <v>0</v>
      </c>
      <c r="AZ56">
        <f t="shared" si="39"/>
        <v>0</v>
      </c>
      <c r="BB56">
        <f t="shared" si="2"/>
        <v>0</v>
      </c>
      <c r="BC56" s="15">
        <f t="shared" si="3"/>
        <v>0</v>
      </c>
      <c r="BD56" s="15">
        <f>SUM(BB57:BC57)</f>
        <v>0.42250724002412987</v>
      </c>
    </row>
    <row r="57" spans="1:56" ht="12.75">
      <c r="A57" s="1" t="s">
        <v>39</v>
      </c>
      <c r="B57" s="1" t="s">
        <v>126</v>
      </c>
      <c r="C57" s="4">
        <v>0.002779606162495866</v>
      </c>
      <c r="D57" s="5">
        <v>1.8339977863228643</v>
      </c>
      <c r="E57" s="129">
        <f t="shared" si="4"/>
        <v>0.005452080303333637</v>
      </c>
      <c r="F57" s="135">
        <f>G57*$D57</f>
        <v>23.92338089827362</v>
      </c>
      <c r="G57" s="135">
        <v>13.044389189934417</v>
      </c>
      <c r="H57" s="136">
        <f>I57*$D57</f>
        <v>0.33800579201930386</v>
      </c>
      <c r="I57" s="137">
        <v>0.1843</v>
      </c>
      <c r="J57" s="137">
        <v>0.1843</v>
      </c>
      <c r="K57" s="138">
        <f t="shared" si="5"/>
        <v>0</v>
      </c>
      <c r="L57" s="133">
        <v>0.005452080303333637</v>
      </c>
      <c r="M57" s="133">
        <f t="shared" si="6"/>
        <v>0.008493584469178521</v>
      </c>
      <c r="N57" s="147">
        <f t="shared" si="7"/>
        <v>117.73592216911426</v>
      </c>
      <c r="O57" s="133">
        <f t="shared" si="8"/>
        <v>0.004167588614480356</v>
      </c>
      <c r="P57" s="4">
        <v>0.002779606162495866</v>
      </c>
      <c r="Q57" s="14">
        <f>P57/$P$7</f>
        <v>0.003763248169576571</v>
      </c>
      <c r="R57" s="15">
        <f t="shared" si="53"/>
        <v>265.72789115646253</v>
      </c>
      <c r="S57" s="14">
        <f t="shared" si="54"/>
        <v>0.023721021179527943</v>
      </c>
      <c r="T57" s="15">
        <f t="shared" si="55"/>
        <v>2.2355641797114627</v>
      </c>
      <c r="U57" s="15">
        <f t="shared" si="56"/>
        <v>12.130028104782761</v>
      </c>
      <c r="V57" s="5">
        <v>2.2924972329035804</v>
      </c>
      <c r="W57" s="15">
        <f t="shared" si="57"/>
        <v>0</v>
      </c>
      <c r="X57" s="15">
        <f t="shared" si="58"/>
        <v>0</v>
      </c>
      <c r="Y57" s="15">
        <f t="shared" si="13"/>
        <v>0.42250724002412987</v>
      </c>
      <c r="Z57" s="15">
        <f t="shared" si="14"/>
        <v>0</v>
      </c>
      <c r="AA57" s="15">
        <f t="shared" si="1"/>
        <v>0</v>
      </c>
      <c r="AB57" s="16">
        <f t="shared" si="15"/>
        <v>0</v>
      </c>
      <c r="AC57">
        <f t="shared" si="16"/>
        <v>0</v>
      </c>
      <c r="AD57">
        <f t="shared" si="17"/>
        <v>0.42250724002412987</v>
      </c>
      <c r="AE57">
        <f t="shared" si="18"/>
        <v>0</v>
      </c>
      <c r="AF57">
        <f t="shared" si="19"/>
        <v>0</v>
      </c>
      <c r="AG57">
        <f t="shared" si="20"/>
        <v>0</v>
      </c>
      <c r="AH57">
        <f t="shared" si="21"/>
        <v>0</v>
      </c>
      <c r="AI57">
        <f t="shared" si="22"/>
        <v>0.42250724002412987</v>
      </c>
      <c r="AJ57" s="15">
        <f t="shared" si="23"/>
        <v>0</v>
      </c>
      <c r="AK57">
        <f t="shared" si="24"/>
        <v>0</v>
      </c>
      <c r="AL57">
        <f t="shared" si="25"/>
        <v>0</v>
      </c>
      <c r="AM57">
        <f t="shared" si="26"/>
        <v>0</v>
      </c>
      <c r="AN57">
        <f t="shared" si="27"/>
        <v>0.42250724002412987</v>
      </c>
      <c r="AO57" s="15">
        <f t="shared" si="28"/>
        <v>0</v>
      </c>
      <c r="AP57">
        <f t="shared" si="29"/>
        <v>0</v>
      </c>
      <c r="AQ57">
        <f t="shared" si="30"/>
        <v>0</v>
      </c>
      <c r="AR57">
        <f t="shared" si="31"/>
        <v>0</v>
      </c>
      <c r="AS57">
        <f t="shared" si="32"/>
        <v>0.42250724002412987</v>
      </c>
      <c r="AT57" s="15">
        <f t="shared" si="33"/>
        <v>0</v>
      </c>
      <c r="AU57">
        <f t="shared" si="34"/>
        <v>0</v>
      </c>
      <c r="AV57">
        <f t="shared" si="35"/>
        <v>0</v>
      </c>
      <c r="AW57">
        <f t="shared" si="36"/>
        <v>0</v>
      </c>
      <c r="AX57">
        <f t="shared" si="37"/>
        <v>0.42250724002412987</v>
      </c>
      <c r="AY57" s="15">
        <f t="shared" si="38"/>
        <v>0</v>
      </c>
      <c r="AZ57">
        <f t="shared" si="39"/>
        <v>0</v>
      </c>
      <c r="BB57">
        <f t="shared" si="2"/>
        <v>0.42250724002412987</v>
      </c>
      <c r="BC57" s="15">
        <f t="shared" si="3"/>
        <v>0</v>
      </c>
      <c r="BD57" s="15"/>
    </row>
    <row r="58" spans="1:56" ht="12.75">
      <c r="A58" s="1" t="s">
        <v>40</v>
      </c>
      <c r="B58" s="3"/>
      <c r="C58" s="4">
        <v>0.04461800325212215</v>
      </c>
      <c r="D58" s="5"/>
      <c r="E58" s="129"/>
      <c r="F58" s="135">
        <f>SUM(F59:F60)</f>
        <v>384.01608872620886</v>
      </c>
      <c r="G58" s="128"/>
      <c r="H58" s="136">
        <f>SUM(H59:H60)</f>
        <v>6.014679465666522</v>
      </c>
      <c r="I58" s="137"/>
      <c r="J58" s="137"/>
      <c r="K58" s="138">
        <f t="shared" si="5"/>
        <v>0</v>
      </c>
      <c r="L58" s="133"/>
      <c r="M58" s="133"/>
      <c r="N58" s="147"/>
      <c r="O58" s="133"/>
      <c r="P58" s="4"/>
      <c r="Q58" s="14"/>
      <c r="R58" s="15"/>
      <c r="S58" s="14"/>
      <c r="U58" s="15"/>
      <c r="V58" s="5"/>
      <c r="Y58" s="15">
        <f t="shared" si="13"/>
        <v>0</v>
      </c>
      <c r="Z58" s="15">
        <f t="shared" si="14"/>
        <v>0</v>
      </c>
      <c r="AA58" s="15">
        <f t="shared" si="1"/>
        <v>0</v>
      </c>
      <c r="AB58" s="16">
        <f t="shared" si="15"/>
        <v>0</v>
      </c>
      <c r="AC58">
        <f t="shared" si="16"/>
        <v>0</v>
      </c>
      <c r="AD58">
        <f t="shared" si="17"/>
        <v>0</v>
      </c>
      <c r="AE58">
        <f t="shared" si="18"/>
        <v>0</v>
      </c>
      <c r="AF58">
        <f t="shared" si="19"/>
        <v>0</v>
      </c>
      <c r="AG58">
        <f t="shared" si="20"/>
        <v>0</v>
      </c>
      <c r="AH58">
        <f t="shared" si="21"/>
        <v>0</v>
      </c>
      <c r="AI58">
        <f t="shared" si="22"/>
        <v>0</v>
      </c>
      <c r="AJ58" s="15">
        <f t="shared" si="23"/>
        <v>0</v>
      </c>
      <c r="AK58">
        <f t="shared" si="24"/>
        <v>0</v>
      </c>
      <c r="AL58">
        <f t="shared" si="25"/>
        <v>0</v>
      </c>
      <c r="AM58">
        <f t="shared" si="26"/>
        <v>0</v>
      </c>
      <c r="AN58">
        <f t="shared" si="27"/>
        <v>0</v>
      </c>
      <c r="AO58" s="15">
        <f t="shared" si="28"/>
        <v>0</v>
      </c>
      <c r="AP58">
        <f t="shared" si="29"/>
        <v>0</v>
      </c>
      <c r="AQ58">
        <f t="shared" si="30"/>
        <v>0</v>
      </c>
      <c r="AR58">
        <f t="shared" si="31"/>
        <v>0</v>
      </c>
      <c r="AS58">
        <f t="shared" si="32"/>
        <v>0</v>
      </c>
      <c r="AT58" s="15">
        <f t="shared" si="33"/>
        <v>0</v>
      </c>
      <c r="AU58">
        <f t="shared" si="34"/>
        <v>0</v>
      </c>
      <c r="AV58">
        <f t="shared" si="35"/>
        <v>0</v>
      </c>
      <c r="AW58">
        <f t="shared" si="36"/>
        <v>0</v>
      </c>
      <c r="AX58">
        <f t="shared" si="37"/>
        <v>0</v>
      </c>
      <c r="AY58" s="15">
        <f t="shared" si="38"/>
        <v>0</v>
      </c>
      <c r="AZ58">
        <f t="shared" si="39"/>
        <v>0</v>
      </c>
      <c r="BB58">
        <f t="shared" si="2"/>
        <v>0</v>
      </c>
      <c r="BC58" s="15">
        <f t="shared" si="3"/>
        <v>0</v>
      </c>
      <c r="BD58" s="15">
        <f>SUM(BB59:BC60)</f>
        <v>3.8240965293311184</v>
      </c>
    </row>
    <row r="59" spans="1:56" ht="12.75">
      <c r="A59" s="1" t="s">
        <v>235</v>
      </c>
      <c r="B59" s="1" t="s">
        <v>125</v>
      </c>
      <c r="C59" s="4">
        <v>0.008251240491676772</v>
      </c>
      <c r="D59" s="5">
        <v>11.816882480760842</v>
      </c>
      <c r="E59" s="129">
        <f t="shared" si="4"/>
        <v>0.0351290457930916</v>
      </c>
      <c r="F59" s="135">
        <f>G59*$D59</f>
        <v>71.01638060422005</v>
      </c>
      <c r="G59" s="135">
        <v>6.00973909318658</v>
      </c>
      <c r="H59" s="136">
        <f>I59*$D59</f>
        <v>2.2345724771118753</v>
      </c>
      <c r="I59" s="137">
        <v>0.1891</v>
      </c>
      <c r="J59" s="137">
        <v>0.1891</v>
      </c>
      <c r="K59" s="138">
        <f t="shared" si="5"/>
        <v>0</v>
      </c>
      <c r="L59" s="133">
        <v>0.0351290457930916</v>
      </c>
      <c r="M59" s="133">
        <f t="shared" si="6"/>
        <v>0.05472617811275206</v>
      </c>
      <c r="N59" s="147">
        <f t="shared" si="7"/>
        <v>18.27279072804436</v>
      </c>
      <c r="O59" s="133">
        <f t="shared" si="8"/>
        <v>0.0006468159690769151</v>
      </c>
      <c r="P59" s="4">
        <v>0.008251240491676772</v>
      </c>
      <c r="Q59" s="14">
        <f>P59/$P$7</f>
        <v>0.011171174569981865</v>
      </c>
      <c r="R59" s="15">
        <f t="shared" si="53"/>
        <v>89.51610179712941</v>
      </c>
      <c r="S59" s="14">
        <f t="shared" si="54"/>
        <v>0.007990931389991743</v>
      </c>
      <c r="T59" s="15">
        <f t="shared" si="55"/>
        <v>0.7530974253930908</v>
      </c>
      <c r="U59" s="15">
        <f t="shared" si="56"/>
        <v>3.982535300862458</v>
      </c>
      <c r="V59" s="5">
        <v>14.771103100951052</v>
      </c>
      <c r="W59" s="15">
        <f t="shared" si="57"/>
        <v>0.7530974253930908</v>
      </c>
      <c r="X59" s="15">
        <f t="shared" si="58"/>
        <v>3.982535300862458</v>
      </c>
      <c r="Y59" s="15">
        <f t="shared" si="13"/>
        <v>0</v>
      </c>
      <c r="Z59" s="15">
        <f t="shared" si="14"/>
        <v>0.7530974253930908</v>
      </c>
      <c r="AA59" s="15">
        <f t="shared" si="1"/>
        <v>2.2710133044169</v>
      </c>
      <c r="AB59" s="16">
        <f t="shared" si="15"/>
        <v>12.00958912965045</v>
      </c>
      <c r="AC59">
        <f t="shared" si="16"/>
        <v>12.00958912965045</v>
      </c>
      <c r="AD59">
        <f t="shared" si="17"/>
        <v>0</v>
      </c>
      <c r="AE59">
        <f t="shared" si="18"/>
        <v>2.2710133044169</v>
      </c>
      <c r="AF59">
        <f t="shared" si="19"/>
        <v>3.9956639034145405</v>
      </c>
      <c r="AG59">
        <f t="shared" si="20"/>
        <v>21.12989901329741</v>
      </c>
      <c r="AH59">
        <f t="shared" si="21"/>
        <v>0</v>
      </c>
      <c r="AI59">
        <f t="shared" si="22"/>
        <v>2.7932155963898437</v>
      </c>
      <c r="AJ59" s="15">
        <f t="shared" si="23"/>
        <v>0</v>
      </c>
      <c r="AK59">
        <f t="shared" si="24"/>
        <v>0</v>
      </c>
      <c r="AL59">
        <f t="shared" si="25"/>
        <v>0</v>
      </c>
      <c r="AM59">
        <f t="shared" si="26"/>
        <v>0</v>
      </c>
      <c r="AN59">
        <f t="shared" si="27"/>
        <v>2.7932155963898437</v>
      </c>
      <c r="AO59" s="15">
        <f t="shared" si="28"/>
        <v>0</v>
      </c>
      <c r="AP59">
        <f t="shared" si="29"/>
        <v>0</v>
      </c>
      <c r="AQ59">
        <f t="shared" si="30"/>
        <v>0</v>
      </c>
      <c r="AR59">
        <f t="shared" si="31"/>
        <v>0</v>
      </c>
      <c r="AS59">
        <f t="shared" si="32"/>
        <v>2.7932155963898437</v>
      </c>
      <c r="AT59" s="15">
        <f t="shared" si="33"/>
        <v>0</v>
      </c>
      <c r="AU59">
        <f t="shared" si="34"/>
        <v>0</v>
      </c>
      <c r="AV59">
        <f t="shared" si="35"/>
        <v>0</v>
      </c>
      <c r="AW59">
        <f t="shared" si="36"/>
        <v>0</v>
      </c>
      <c r="AX59">
        <f t="shared" si="37"/>
        <v>2.7932155963898437</v>
      </c>
      <c r="AY59" s="15">
        <f t="shared" si="38"/>
        <v>0</v>
      </c>
      <c r="AZ59">
        <f t="shared" si="39"/>
        <v>0</v>
      </c>
      <c r="BB59">
        <f t="shared" si="2"/>
        <v>2.7932155963898437</v>
      </c>
      <c r="BC59" s="15">
        <f t="shared" si="3"/>
        <v>0</v>
      </c>
      <c r="BD59" s="15"/>
    </row>
    <row r="60" spans="1:56" ht="12.75">
      <c r="A60" s="1" t="s">
        <v>41</v>
      </c>
      <c r="B60" s="1" t="s">
        <v>127</v>
      </c>
      <c r="C60" s="4">
        <v>0.03636676276044538</v>
      </c>
      <c r="D60" s="5">
        <v>6.566105590680297</v>
      </c>
      <c r="E60" s="129">
        <f t="shared" si="4"/>
        <v>0.01951961732316657</v>
      </c>
      <c r="F60" s="135">
        <f>G60*$D60</f>
        <v>312.9997081219888</v>
      </c>
      <c r="G60" s="135">
        <v>47.66900315557669</v>
      </c>
      <c r="H60" s="136">
        <f>I60*$D60</f>
        <v>3.780106988554647</v>
      </c>
      <c r="I60" s="137">
        <v>0.5757</v>
      </c>
      <c r="J60" s="137">
        <v>0.5757</v>
      </c>
      <c r="K60" s="138">
        <f>J60-I60</f>
        <v>0</v>
      </c>
      <c r="L60" s="133">
        <v>0.01951961732316657</v>
      </c>
      <c r="M60" s="133">
        <f t="shared" si="6"/>
        <v>0.03040885484371599</v>
      </c>
      <c r="N60" s="147">
        <f t="shared" si="7"/>
        <v>32.885158127112135</v>
      </c>
      <c r="O60" s="133">
        <f t="shared" si="8"/>
        <v>0.001164061129950461</v>
      </c>
      <c r="P60" s="4">
        <v>0.03636676276044538</v>
      </c>
      <c r="Q60" s="14">
        <f>P60/$P$7</f>
        <v>0.0492361670650437</v>
      </c>
      <c r="R60" s="15">
        <f>1/Q60</f>
        <v>20.31027311039352</v>
      </c>
      <c r="S60" s="14">
        <f>R60/$R$7</f>
        <v>0.001813059278485621</v>
      </c>
      <c r="T60" s="15">
        <f>S60*$T$7</f>
        <v>0.17086997848870114</v>
      </c>
      <c r="U60" s="15">
        <f>T60/J60</f>
        <v>0.2968038535499412</v>
      </c>
      <c r="V60" s="5">
        <v>8.207631988350371</v>
      </c>
      <c r="W60" s="15">
        <f t="shared" si="57"/>
        <v>0.17086997848870114</v>
      </c>
      <c r="X60" s="15">
        <f t="shared" si="58"/>
        <v>0.2968038535499412</v>
      </c>
      <c r="Y60" s="15">
        <f t="shared" si="13"/>
        <v>0</v>
      </c>
      <c r="Z60" s="15">
        <f t="shared" si="14"/>
        <v>0.17086997848870114</v>
      </c>
      <c r="AA60" s="15">
        <f t="shared" si="1"/>
        <v>0.5152693149504823</v>
      </c>
      <c r="AB60" s="16">
        <f t="shared" si="15"/>
        <v>0.895030944850586</v>
      </c>
      <c r="AC60">
        <f t="shared" si="16"/>
        <v>0.895030944850586</v>
      </c>
      <c r="AD60">
        <f t="shared" si="17"/>
        <v>0</v>
      </c>
      <c r="AE60">
        <f t="shared" si="18"/>
        <v>0.5152693149504823</v>
      </c>
      <c r="AF60">
        <f t="shared" si="19"/>
        <v>0.9065746106729234</v>
      </c>
      <c r="AG60">
        <f t="shared" si="20"/>
        <v>1.5747344288221703</v>
      </c>
      <c r="AH60">
        <f t="shared" si="21"/>
        <v>1.5747344288221703</v>
      </c>
      <c r="AI60">
        <f t="shared" si="22"/>
        <v>0</v>
      </c>
      <c r="AJ60" s="15">
        <f t="shared" si="23"/>
        <v>0.9065746106729234</v>
      </c>
      <c r="AK60">
        <f t="shared" si="24"/>
        <v>1.024582411892653</v>
      </c>
      <c r="AL60">
        <f t="shared" si="25"/>
        <v>1.7797158448717265</v>
      </c>
      <c r="AM60">
        <f t="shared" si="26"/>
        <v>1.7797158448717265</v>
      </c>
      <c r="AN60">
        <f t="shared" si="27"/>
        <v>0</v>
      </c>
      <c r="AO60" s="15">
        <f t="shared" si="28"/>
        <v>1.024582411892653</v>
      </c>
      <c r="AP60">
        <f t="shared" si="29"/>
        <v>1.0308809329412754</v>
      </c>
      <c r="AQ60">
        <f t="shared" si="30"/>
        <v>1.7906564754929224</v>
      </c>
      <c r="AR60">
        <f t="shared" si="31"/>
        <v>1.7906564754929224</v>
      </c>
      <c r="AS60">
        <f t="shared" si="32"/>
        <v>0</v>
      </c>
      <c r="AT60" s="15">
        <f t="shared" si="33"/>
        <v>1.0308809329412754</v>
      </c>
      <c r="AU60">
        <f t="shared" si="34"/>
        <v>1.030880932941275</v>
      </c>
      <c r="AV60">
        <f t="shared" si="35"/>
        <v>1.7906564754929215</v>
      </c>
      <c r="AW60">
        <f t="shared" si="36"/>
        <v>1.7906564754929215</v>
      </c>
      <c r="AX60">
        <f t="shared" si="37"/>
        <v>0</v>
      </c>
      <c r="AY60" s="15">
        <f t="shared" si="38"/>
        <v>1.030880932941275</v>
      </c>
      <c r="AZ60">
        <f t="shared" si="39"/>
        <v>1.030880932941275</v>
      </c>
      <c r="BB60">
        <f t="shared" si="2"/>
        <v>0</v>
      </c>
      <c r="BC60" s="15">
        <f t="shared" si="3"/>
        <v>1.030880932941275</v>
      </c>
      <c r="BD60" s="15"/>
    </row>
    <row r="61" spans="1:56" ht="12.75">
      <c r="A61" s="1" t="s">
        <v>42</v>
      </c>
      <c r="B61" s="3"/>
      <c r="C61" s="4">
        <v>0.23110246940800355</v>
      </c>
      <c r="D61" s="5"/>
      <c r="E61" s="129"/>
      <c r="F61" s="135">
        <f>(F62+F63+F66+F71)</f>
        <v>2348.643616306213</v>
      </c>
      <c r="G61" s="128"/>
      <c r="H61" s="136">
        <f>(H62+H63+H66+H71)</f>
        <v>26.066968311076238</v>
      </c>
      <c r="I61" s="137"/>
      <c r="J61" s="137"/>
      <c r="K61" s="138">
        <f>J61-I61</f>
        <v>0</v>
      </c>
      <c r="L61" s="133"/>
      <c r="M61" s="133"/>
      <c r="N61" s="147"/>
      <c r="O61" s="133"/>
      <c r="P61" s="4"/>
      <c r="Q61" s="14"/>
      <c r="R61" s="15"/>
      <c r="S61" s="14"/>
      <c r="V61" s="5"/>
      <c r="Y61" s="15">
        <f t="shared" si="13"/>
        <v>0</v>
      </c>
      <c r="Z61" s="15">
        <f t="shared" si="14"/>
        <v>0</v>
      </c>
      <c r="AA61" s="15">
        <f t="shared" si="1"/>
        <v>0</v>
      </c>
      <c r="AB61" s="16">
        <f t="shared" si="15"/>
        <v>0</v>
      </c>
      <c r="AC61">
        <f t="shared" si="16"/>
        <v>0</v>
      </c>
      <c r="AD61">
        <f t="shared" si="17"/>
        <v>0</v>
      </c>
      <c r="AE61">
        <f t="shared" si="18"/>
        <v>0</v>
      </c>
      <c r="AF61">
        <f t="shared" si="19"/>
        <v>0</v>
      </c>
      <c r="AG61">
        <f t="shared" si="20"/>
        <v>0</v>
      </c>
      <c r="AH61">
        <f t="shared" si="21"/>
        <v>0</v>
      </c>
      <c r="AI61">
        <f t="shared" si="22"/>
        <v>0</v>
      </c>
      <c r="AJ61" s="15">
        <f t="shared" si="23"/>
        <v>0</v>
      </c>
      <c r="AK61">
        <f t="shared" si="24"/>
        <v>0</v>
      </c>
      <c r="AL61">
        <f t="shared" si="25"/>
        <v>0</v>
      </c>
      <c r="AM61">
        <f t="shared" si="26"/>
        <v>0</v>
      </c>
      <c r="AN61">
        <f t="shared" si="27"/>
        <v>0</v>
      </c>
      <c r="AO61" s="15">
        <f t="shared" si="28"/>
        <v>0</v>
      </c>
      <c r="AP61">
        <f t="shared" si="29"/>
        <v>0</v>
      </c>
      <c r="AQ61">
        <f t="shared" si="30"/>
        <v>0</v>
      </c>
      <c r="AR61">
        <f t="shared" si="31"/>
        <v>0</v>
      </c>
      <c r="AS61">
        <f t="shared" si="32"/>
        <v>0</v>
      </c>
      <c r="AT61" s="15">
        <f t="shared" si="33"/>
        <v>0</v>
      </c>
      <c r="AU61">
        <f t="shared" si="34"/>
        <v>0</v>
      </c>
      <c r="AV61">
        <f t="shared" si="35"/>
        <v>0</v>
      </c>
      <c r="AW61">
        <f t="shared" si="36"/>
        <v>0</v>
      </c>
      <c r="AX61">
        <f t="shared" si="37"/>
        <v>0</v>
      </c>
      <c r="AY61" s="15">
        <f t="shared" si="38"/>
        <v>0</v>
      </c>
      <c r="AZ61">
        <f t="shared" si="39"/>
        <v>0</v>
      </c>
      <c r="BB61">
        <f t="shared" si="2"/>
        <v>0</v>
      </c>
      <c r="BC61" s="15">
        <f t="shared" si="3"/>
        <v>0</v>
      </c>
      <c r="BD61" s="15">
        <f>SUM(BD62+BD63+BD66+BD71)</f>
        <v>2.953097111467284</v>
      </c>
    </row>
    <row r="62" spans="1:56" ht="12.75">
      <c r="A62" s="1" t="s">
        <v>128</v>
      </c>
      <c r="B62" s="1" t="s">
        <v>129</v>
      </c>
      <c r="C62" s="4">
        <v>0.1641311161944659</v>
      </c>
      <c r="D62" s="5">
        <v>1</v>
      </c>
      <c r="E62" s="129">
        <f t="shared" si="4"/>
        <v>0.0029727845605882486</v>
      </c>
      <c r="F62" s="135">
        <f>G62*$D62</f>
        <v>1765.79</v>
      </c>
      <c r="G62" s="140">
        <v>1765.79</v>
      </c>
      <c r="H62" s="136">
        <f>I62*$D62</f>
        <v>14.6388</v>
      </c>
      <c r="I62" s="137">
        <v>14.6388</v>
      </c>
      <c r="J62" s="137">
        <v>14.6388</v>
      </c>
      <c r="K62" s="138">
        <f aca="true" t="shared" si="59" ref="K62:K75">J62-I62</f>
        <v>0</v>
      </c>
      <c r="L62" s="133"/>
      <c r="M62" s="133"/>
      <c r="N62" s="147"/>
      <c r="O62" s="133"/>
      <c r="P62" s="4"/>
      <c r="Q62" s="14"/>
      <c r="R62" s="15"/>
      <c r="S62" s="14"/>
      <c r="V62" s="5"/>
      <c r="Y62" s="15">
        <f t="shared" si="13"/>
        <v>0</v>
      </c>
      <c r="Z62" s="15">
        <f t="shared" si="14"/>
        <v>0</v>
      </c>
      <c r="AA62" s="15">
        <f t="shared" si="1"/>
        <v>0</v>
      </c>
      <c r="AB62" s="16">
        <f t="shared" si="15"/>
        <v>0</v>
      </c>
      <c r="AC62">
        <f t="shared" si="16"/>
        <v>0</v>
      </c>
      <c r="AD62">
        <f t="shared" si="17"/>
        <v>0</v>
      </c>
      <c r="AE62">
        <f t="shared" si="18"/>
        <v>0</v>
      </c>
      <c r="AF62">
        <f t="shared" si="19"/>
        <v>0</v>
      </c>
      <c r="AG62">
        <f t="shared" si="20"/>
        <v>0</v>
      </c>
      <c r="AH62">
        <f t="shared" si="21"/>
        <v>0</v>
      </c>
      <c r="AI62">
        <f t="shared" si="22"/>
        <v>0</v>
      </c>
      <c r="AJ62" s="15">
        <f t="shared" si="23"/>
        <v>0</v>
      </c>
      <c r="AK62">
        <f t="shared" si="24"/>
        <v>0</v>
      </c>
      <c r="AL62">
        <f t="shared" si="25"/>
        <v>0</v>
      </c>
      <c r="AM62">
        <f t="shared" si="26"/>
        <v>0</v>
      </c>
      <c r="AN62">
        <f t="shared" si="27"/>
        <v>0</v>
      </c>
      <c r="AO62" s="15">
        <f t="shared" si="28"/>
        <v>0</v>
      </c>
      <c r="AP62">
        <f t="shared" si="29"/>
        <v>0</v>
      </c>
      <c r="AQ62">
        <f t="shared" si="30"/>
        <v>0</v>
      </c>
      <c r="AR62">
        <f t="shared" si="31"/>
        <v>0</v>
      </c>
      <c r="AS62">
        <f t="shared" si="32"/>
        <v>0</v>
      </c>
      <c r="AT62" s="15">
        <f t="shared" si="33"/>
        <v>0</v>
      </c>
      <c r="AU62">
        <f t="shared" si="34"/>
        <v>0</v>
      </c>
      <c r="AV62">
        <f t="shared" si="35"/>
        <v>0</v>
      </c>
      <c r="AW62">
        <f t="shared" si="36"/>
        <v>0</v>
      </c>
      <c r="AX62">
        <f t="shared" si="37"/>
        <v>0</v>
      </c>
      <c r="AY62" s="15">
        <f t="shared" si="38"/>
        <v>0</v>
      </c>
      <c r="AZ62">
        <f t="shared" si="39"/>
        <v>0</v>
      </c>
      <c r="BB62">
        <f t="shared" si="2"/>
        <v>0</v>
      </c>
      <c r="BC62" s="15">
        <f t="shared" si="3"/>
        <v>0</v>
      </c>
      <c r="BD62" s="18">
        <f>SUM(BB62:BC62)</f>
        <v>0</v>
      </c>
    </row>
    <row r="63" spans="1:56" ht="12.75">
      <c r="A63" s="1" t="s">
        <v>44</v>
      </c>
      <c r="B63" s="3"/>
      <c r="C63" s="4">
        <v>0.040487</v>
      </c>
      <c r="D63" s="5"/>
      <c r="E63" s="129"/>
      <c r="F63" s="135">
        <f>SUM(F64:F65)</f>
        <v>348.464</v>
      </c>
      <c r="G63" s="128"/>
      <c r="H63" s="136">
        <f>SUM(H64:H65)</f>
        <v>6.39266663678889</v>
      </c>
      <c r="I63" s="137"/>
      <c r="J63" s="137"/>
      <c r="K63" s="138">
        <f t="shared" si="59"/>
        <v>0</v>
      </c>
      <c r="L63" s="133"/>
      <c r="M63" s="133"/>
      <c r="N63" s="147"/>
      <c r="O63" s="133"/>
      <c r="P63" s="4"/>
      <c r="Q63" s="14"/>
      <c r="R63" s="15"/>
      <c r="S63" s="14"/>
      <c r="V63" s="5"/>
      <c r="Y63" s="15">
        <f t="shared" si="13"/>
        <v>0</v>
      </c>
      <c r="Z63" s="15">
        <f t="shared" si="14"/>
        <v>0</v>
      </c>
      <c r="AA63" s="15">
        <f t="shared" si="1"/>
        <v>0</v>
      </c>
      <c r="AB63" s="16">
        <f t="shared" si="15"/>
        <v>0</v>
      </c>
      <c r="AC63">
        <f t="shared" si="16"/>
        <v>0</v>
      </c>
      <c r="AD63">
        <f t="shared" si="17"/>
        <v>0</v>
      </c>
      <c r="AE63">
        <f t="shared" si="18"/>
        <v>0</v>
      </c>
      <c r="AF63">
        <f t="shared" si="19"/>
        <v>0</v>
      </c>
      <c r="AG63">
        <f t="shared" si="20"/>
        <v>0</v>
      </c>
      <c r="AH63">
        <f t="shared" si="21"/>
        <v>0</v>
      </c>
      <c r="AI63">
        <f t="shared" si="22"/>
        <v>0</v>
      </c>
      <c r="AJ63" s="15">
        <f t="shared" si="23"/>
        <v>0</v>
      </c>
      <c r="AK63">
        <f t="shared" si="24"/>
        <v>0</v>
      </c>
      <c r="AL63">
        <f t="shared" si="25"/>
        <v>0</v>
      </c>
      <c r="AM63">
        <f t="shared" si="26"/>
        <v>0</v>
      </c>
      <c r="AN63">
        <f t="shared" si="27"/>
        <v>0</v>
      </c>
      <c r="AO63" s="15">
        <f t="shared" si="28"/>
        <v>0</v>
      </c>
      <c r="AP63">
        <f t="shared" si="29"/>
        <v>0</v>
      </c>
      <c r="AQ63">
        <f t="shared" si="30"/>
        <v>0</v>
      </c>
      <c r="AR63">
        <f t="shared" si="31"/>
        <v>0</v>
      </c>
      <c r="AS63">
        <f t="shared" si="32"/>
        <v>0</v>
      </c>
      <c r="AT63" s="15">
        <f t="shared" si="33"/>
        <v>0</v>
      </c>
      <c r="AU63">
        <f t="shared" si="34"/>
        <v>0</v>
      </c>
      <c r="AV63">
        <f t="shared" si="35"/>
        <v>0</v>
      </c>
      <c r="AW63">
        <f t="shared" si="36"/>
        <v>0</v>
      </c>
      <c r="AX63">
        <f t="shared" si="37"/>
        <v>0</v>
      </c>
      <c r="AY63" s="15">
        <f t="shared" si="38"/>
        <v>0</v>
      </c>
      <c r="AZ63">
        <f t="shared" si="39"/>
        <v>0</v>
      </c>
      <c r="BB63">
        <f t="shared" si="2"/>
        <v>0</v>
      </c>
      <c r="BC63" s="15">
        <f t="shared" si="3"/>
        <v>0</v>
      </c>
      <c r="BD63" s="18">
        <f>SUM(BB63:BC63)</f>
        <v>0</v>
      </c>
    </row>
    <row r="64" spans="1:56" ht="12.75">
      <c r="A64" s="1" t="s">
        <v>259</v>
      </c>
      <c r="B64" s="8" t="s">
        <v>130</v>
      </c>
      <c r="C64" s="9">
        <v>0.020176</v>
      </c>
      <c r="D64" s="10">
        <v>0.7999952781044046</v>
      </c>
      <c r="E64" s="129">
        <f t="shared" si="4"/>
        <v>0.0023782136112922765</v>
      </c>
      <c r="F64" s="135">
        <f>G64*$D64</f>
        <v>173.648</v>
      </c>
      <c r="G64" s="139">
        <v>217.06128117588437</v>
      </c>
      <c r="H64" s="136">
        <f>I64*$D64</f>
        <v>5.240529068278524</v>
      </c>
      <c r="I64" s="137">
        <v>6.5507</v>
      </c>
      <c r="J64" s="137">
        <v>6.5507</v>
      </c>
      <c r="K64" s="138">
        <f t="shared" si="59"/>
        <v>0</v>
      </c>
      <c r="L64" s="133"/>
      <c r="M64" s="133"/>
      <c r="N64" s="147"/>
      <c r="O64" s="133"/>
      <c r="P64" s="9"/>
      <c r="Q64" s="14"/>
      <c r="R64" s="15"/>
      <c r="S64" s="14"/>
      <c r="V64" s="10"/>
      <c r="W64" s="15">
        <f t="shared" si="57"/>
        <v>0</v>
      </c>
      <c r="X64" s="15">
        <f t="shared" si="58"/>
        <v>0</v>
      </c>
      <c r="Y64" s="15">
        <f t="shared" si="13"/>
        <v>0</v>
      </c>
      <c r="Z64" s="15">
        <f t="shared" si="14"/>
        <v>0</v>
      </c>
      <c r="AA64" s="15">
        <f t="shared" si="1"/>
        <v>0</v>
      </c>
      <c r="AB64" s="16">
        <f t="shared" si="15"/>
        <v>0</v>
      </c>
      <c r="AC64">
        <f t="shared" si="16"/>
        <v>0</v>
      </c>
      <c r="AD64">
        <f t="shared" si="17"/>
        <v>0</v>
      </c>
      <c r="AE64">
        <f t="shared" si="18"/>
        <v>0</v>
      </c>
      <c r="AF64">
        <f t="shared" si="19"/>
        <v>0</v>
      </c>
      <c r="AG64">
        <f t="shared" si="20"/>
        <v>0</v>
      </c>
      <c r="AH64">
        <f t="shared" si="21"/>
        <v>0</v>
      </c>
      <c r="AI64">
        <f t="shared" si="22"/>
        <v>0</v>
      </c>
      <c r="AJ64" s="15">
        <f t="shared" si="23"/>
        <v>0</v>
      </c>
      <c r="AK64">
        <f t="shared" si="24"/>
        <v>0</v>
      </c>
      <c r="AL64">
        <f t="shared" si="25"/>
        <v>0</v>
      </c>
      <c r="AM64">
        <f t="shared" si="26"/>
        <v>0</v>
      </c>
      <c r="AN64">
        <f t="shared" si="27"/>
        <v>0</v>
      </c>
      <c r="AO64" s="15">
        <f t="shared" si="28"/>
        <v>0</v>
      </c>
      <c r="AP64">
        <f t="shared" si="29"/>
        <v>0</v>
      </c>
      <c r="AQ64">
        <f t="shared" si="30"/>
        <v>0</v>
      </c>
      <c r="AR64">
        <f t="shared" si="31"/>
        <v>0</v>
      </c>
      <c r="AS64">
        <f t="shared" si="32"/>
        <v>0</v>
      </c>
      <c r="AT64" s="15">
        <f t="shared" si="33"/>
        <v>0</v>
      </c>
      <c r="AU64">
        <f t="shared" si="34"/>
        <v>0</v>
      </c>
      <c r="AV64">
        <f t="shared" si="35"/>
        <v>0</v>
      </c>
      <c r="AW64">
        <f t="shared" si="36"/>
        <v>0</v>
      </c>
      <c r="AX64">
        <f t="shared" si="37"/>
        <v>0</v>
      </c>
      <c r="AY64" s="15">
        <f t="shared" si="38"/>
        <v>0</v>
      </c>
      <c r="AZ64">
        <f t="shared" si="39"/>
        <v>0</v>
      </c>
      <c r="BB64">
        <f t="shared" si="2"/>
        <v>0</v>
      </c>
      <c r="BC64" s="15">
        <f t="shared" si="3"/>
        <v>0</v>
      </c>
      <c r="BD64" s="15">
        <v>0</v>
      </c>
    </row>
    <row r="65" spans="1:56" ht="12.75">
      <c r="A65" s="1" t="s">
        <v>45</v>
      </c>
      <c r="B65" s="8" t="s">
        <v>131</v>
      </c>
      <c r="C65" s="9">
        <v>0.020311</v>
      </c>
      <c r="D65" s="10">
        <v>1.096021279024321</v>
      </c>
      <c r="E65" s="129">
        <f t="shared" si="4"/>
        <v>0.003258235136359686</v>
      </c>
      <c r="F65" s="135">
        <f>G65*$D65</f>
        <v>174.816</v>
      </c>
      <c r="G65" s="139">
        <v>159.5005529049777</v>
      </c>
      <c r="H65" s="136">
        <f>I65*$D65</f>
        <v>1.152137568510366</v>
      </c>
      <c r="I65" s="137">
        <v>1.0512</v>
      </c>
      <c r="J65" s="137">
        <v>1.0512</v>
      </c>
      <c r="K65" s="138">
        <f t="shared" si="59"/>
        <v>0</v>
      </c>
      <c r="L65" s="133"/>
      <c r="M65" s="133"/>
      <c r="N65" s="147"/>
      <c r="O65" s="133"/>
      <c r="P65" s="9"/>
      <c r="Q65" s="14"/>
      <c r="R65" s="15"/>
      <c r="S65" s="14"/>
      <c r="V65" s="10"/>
      <c r="W65" s="15">
        <f t="shared" si="57"/>
        <v>0</v>
      </c>
      <c r="X65" s="15">
        <f t="shared" si="58"/>
        <v>0</v>
      </c>
      <c r="Y65" s="15">
        <f t="shared" si="13"/>
        <v>0</v>
      </c>
      <c r="Z65" s="15">
        <f t="shared" si="14"/>
        <v>0</v>
      </c>
      <c r="AA65" s="15">
        <f t="shared" si="1"/>
        <v>0</v>
      </c>
      <c r="AB65" s="16">
        <f t="shared" si="15"/>
        <v>0</v>
      </c>
      <c r="AC65">
        <f t="shared" si="16"/>
        <v>0</v>
      </c>
      <c r="AD65">
        <f t="shared" si="17"/>
        <v>0</v>
      </c>
      <c r="AE65">
        <f t="shared" si="18"/>
        <v>0</v>
      </c>
      <c r="AF65">
        <f t="shared" si="19"/>
        <v>0</v>
      </c>
      <c r="AG65">
        <f t="shared" si="20"/>
        <v>0</v>
      </c>
      <c r="AH65">
        <f t="shared" si="21"/>
        <v>0</v>
      </c>
      <c r="AI65">
        <f t="shared" si="22"/>
        <v>0</v>
      </c>
      <c r="AJ65" s="15">
        <f t="shared" si="23"/>
        <v>0</v>
      </c>
      <c r="AK65">
        <f t="shared" si="24"/>
        <v>0</v>
      </c>
      <c r="AL65">
        <f t="shared" si="25"/>
        <v>0</v>
      </c>
      <c r="AM65">
        <f t="shared" si="26"/>
        <v>0</v>
      </c>
      <c r="AN65">
        <f t="shared" si="27"/>
        <v>0</v>
      </c>
      <c r="AO65" s="15">
        <f t="shared" si="28"/>
        <v>0</v>
      </c>
      <c r="AP65">
        <f t="shared" si="29"/>
        <v>0</v>
      </c>
      <c r="AQ65">
        <f t="shared" si="30"/>
        <v>0</v>
      </c>
      <c r="AR65">
        <f t="shared" si="31"/>
        <v>0</v>
      </c>
      <c r="AS65">
        <f t="shared" si="32"/>
        <v>0</v>
      </c>
      <c r="AT65" s="15">
        <f t="shared" si="33"/>
        <v>0</v>
      </c>
      <c r="AU65">
        <f t="shared" si="34"/>
        <v>0</v>
      </c>
      <c r="AV65">
        <f t="shared" si="35"/>
        <v>0</v>
      </c>
      <c r="AW65">
        <f t="shared" si="36"/>
        <v>0</v>
      </c>
      <c r="AX65">
        <f t="shared" si="37"/>
        <v>0</v>
      </c>
      <c r="AY65" s="15">
        <f t="shared" si="38"/>
        <v>0</v>
      </c>
      <c r="AZ65">
        <f t="shared" si="39"/>
        <v>0</v>
      </c>
      <c r="BB65">
        <f t="shared" si="2"/>
        <v>0</v>
      </c>
      <c r="BC65" s="15">
        <f t="shared" si="3"/>
        <v>0</v>
      </c>
      <c r="BD65" s="15">
        <v>0</v>
      </c>
    </row>
    <row r="66" spans="1:56" ht="12.75">
      <c r="A66" s="1" t="s">
        <v>46</v>
      </c>
      <c r="B66" s="3"/>
      <c r="C66" s="4">
        <v>0.023489782879506118</v>
      </c>
      <c r="D66" s="5"/>
      <c r="E66" s="129"/>
      <c r="F66" s="135">
        <f>SUM(F67:F70)</f>
        <v>202.17271104175504</v>
      </c>
      <c r="G66" s="128"/>
      <c r="H66" s="136">
        <f>SUM(H67:H70)</f>
        <v>4.659933067272848</v>
      </c>
      <c r="I66" s="137"/>
      <c r="J66" s="137"/>
      <c r="K66" s="138">
        <f t="shared" si="59"/>
        <v>0</v>
      </c>
      <c r="L66" s="133"/>
      <c r="M66" s="133"/>
      <c r="N66" s="147"/>
      <c r="O66" s="133"/>
      <c r="P66" s="4"/>
      <c r="Q66" s="14"/>
      <c r="R66" s="15"/>
      <c r="S66" s="14"/>
      <c r="V66" s="5"/>
      <c r="Y66" s="15">
        <f t="shared" si="13"/>
        <v>0</v>
      </c>
      <c r="Z66" s="15">
        <f t="shared" si="14"/>
        <v>0</v>
      </c>
      <c r="AA66" s="15">
        <f t="shared" si="1"/>
        <v>0</v>
      </c>
      <c r="AB66" s="16">
        <f t="shared" si="15"/>
        <v>0</v>
      </c>
      <c r="AC66">
        <f t="shared" si="16"/>
        <v>0</v>
      </c>
      <c r="AD66">
        <f t="shared" si="17"/>
        <v>0</v>
      </c>
      <c r="AE66">
        <f t="shared" si="18"/>
        <v>0</v>
      </c>
      <c r="AF66">
        <f t="shared" si="19"/>
        <v>0</v>
      </c>
      <c r="AG66">
        <f t="shared" si="20"/>
        <v>0</v>
      </c>
      <c r="AH66">
        <f t="shared" si="21"/>
        <v>0</v>
      </c>
      <c r="AI66">
        <f t="shared" si="22"/>
        <v>0</v>
      </c>
      <c r="AJ66" s="15">
        <f t="shared" si="23"/>
        <v>0</v>
      </c>
      <c r="AK66">
        <f t="shared" si="24"/>
        <v>0</v>
      </c>
      <c r="AL66">
        <f t="shared" si="25"/>
        <v>0</v>
      </c>
      <c r="AM66">
        <f t="shared" si="26"/>
        <v>0</v>
      </c>
      <c r="AN66">
        <f t="shared" si="27"/>
        <v>0</v>
      </c>
      <c r="AO66" s="15">
        <f t="shared" si="28"/>
        <v>0</v>
      </c>
      <c r="AP66">
        <f t="shared" si="29"/>
        <v>0</v>
      </c>
      <c r="AQ66">
        <f t="shared" si="30"/>
        <v>0</v>
      </c>
      <c r="AR66">
        <f t="shared" si="31"/>
        <v>0</v>
      </c>
      <c r="AS66">
        <f t="shared" si="32"/>
        <v>0</v>
      </c>
      <c r="AT66" s="15">
        <f t="shared" si="33"/>
        <v>0</v>
      </c>
      <c r="AU66">
        <f t="shared" si="34"/>
        <v>0</v>
      </c>
      <c r="AV66">
        <f t="shared" si="35"/>
        <v>0</v>
      </c>
      <c r="AW66">
        <f t="shared" si="36"/>
        <v>0</v>
      </c>
      <c r="AX66">
        <f t="shared" si="37"/>
        <v>0</v>
      </c>
      <c r="AY66" s="15">
        <f t="shared" si="38"/>
        <v>0</v>
      </c>
      <c r="AZ66">
        <f t="shared" si="39"/>
        <v>0</v>
      </c>
      <c r="BB66">
        <f t="shared" si="2"/>
        <v>0</v>
      </c>
      <c r="BC66" s="15">
        <f t="shared" si="3"/>
        <v>0</v>
      </c>
      <c r="BD66" s="15">
        <f>SUM(BB67:BC70)</f>
        <v>2.577528504452788</v>
      </c>
    </row>
    <row r="67" spans="1:56" ht="12.75">
      <c r="A67" s="1" t="s">
        <v>47</v>
      </c>
      <c r="B67" s="8" t="s">
        <v>132</v>
      </c>
      <c r="C67" s="9">
        <v>0.010993</v>
      </c>
      <c r="D67" s="10">
        <v>0.5520186697782964</v>
      </c>
      <c r="E67" s="129">
        <f t="shared" si="4"/>
        <v>0.0016410325786733824</v>
      </c>
      <c r="F67" s="135">
        <f>G67*$D67</f>
        <v>94.616</v>
      </c>
      <c r="G67" s="139">
        <v>171.4</v>
      </c>
      <c r="H67" s="136">
        <f>I67*$D67</f>
        <v>2.5979102637106184</v>
      </c>
      <c r="I67" s="137">
        <v>4.7062</v>
      </c>
      <c r="J67" s="137">
        <v>4.7062</v>
      </c>
      <c r="K67" s="138">
        <f t="shared" si="59"/>
        <v>0</v>
      </c>
      <c r="L67" s="133"/>
      <c r="M67" s="133"/>
      <c r="N67" s="147"/>
      <c r="O67" s="133"/>
      <c r="P67" s="9"/>
      <c r="Q67" s="14"/>
      <c r="R67" s="15"/>
      <c r="S67" s="14"/>
      <c r="V67" s="10"/>
      <c r="W67" s="15">
        <f t="shared" si="57"/>
        <v>0</v>
      </c>
      <c r="X67" s="15">
        <f t="shared" si="58"/>
        <v>0</v>
      </c>
      <c r="Y67" s="15">
        <f t="shared" si="13"/>
        <v>0</v>
      </c>
      <c r="Z67" s="15">
        <f t="shared" si="14"/>
        <v>0</v>
      </c>
      <c r="AA67" s="15">
        <f t="shared" si="1"/>
        <v>0</v>
      </c>
      <c r="AB67" s="16">
        <f t="shared" si="15"/>
        <v>0</v>
      </c>
      <c r="AC67">
        <f t="shared" si="16"/>
        <v>0</v>
      </c>
      <c r="AD67">
        <f t="shared" si="17"/>
        <v>0</v>
      </c>
      <c r="AE67">
        <f t="shared" si="18"/>
        <v>0</v>
      </c>
      <c r="AF67">
        <f t="shared" si="19"/>
        <v>0</v>
      </c>
      <c r="AG67">
        <f t="shared" si="20"/>
        <v>0</v>
      </c>
      <c r="AH67">
        <f t="shared" si="21"/>
        <v>0</v>
      </c>
      <c r="AI67">
        <f t="shared" si="22"/>
        <v>0</v>
      </c>
      <c r="AJ67" s="15">
        <f t="shared" si="23"/>
        <v>0</v>
      </c>
      <c r="AK67">
        <f t="shared" si="24"/>
        <v>0</v>
      </c>
      <c r="AL67">
        <f t="shared" si="25"/>
        <v>0</v>
      </c>
      <c r="AM67">
        <f t="shared" si="26"/>
        <v>0</v>
      </c>
      <c r="AN67">
        <f t="shared" si="27"/>
        <v>0</v>
      </c>
      <c r="AO67" s="15">
        <f t="shared" si="28"/>
        <v>0</v>
      </c>
      <c r="AP67">
        <f t="shared" si="29"/>
        <v>0</v>
      </c>
      <c r="AQ67">
        <f t="shared" si="30"/>
        <v>0</v>
      </c>
      <c r="AR67">
        <f t="shared" si="31"/>
        <v>0</v>
      </c>
      <c r="AS67">
        <f t="shared" si="32"/>
        <v>0</v>
      </c>
      <c r="AT67" s="15">
        <f t="shared" si="33"/>
        <v>0</v>
      </c>
      <c r="AU67">
        <f t="shared" si="34"/>
        <v>0</v>
      </c>
      <c r="AV67">
        <f t="shared" si="35"/>
        <v>0</v>
      </c>
      <c r="AW67">
        <f t="shared" si="36"/>
        <v>0</v>
      </c>
      <c r="AX67">
        <f t="shared" si="37"/>
        <v>0</v>
      </c>
      <c r="AY67" s="15">
        <f t="shared" si="38"/>
        <v>0</v>
      </c>
      <c r="AZ67">
        <f t="shared" si="39"/>
        <v>0</v>
      </c>
      <c r="BB67">
        <f t="shared" si="2"/>
        <v>0</v>
      </c>
      <c r="BC67" s="15">
        <f t="shared" si="3"/>
        <v>0</v>
      </c>
      <c r="BD67" s="15"/>
    </row>
    <row r="68" spans="1:56" ht="12.75">
      <c r="A68" s="1" t="s">
        <v>48</v>
      </c>
      <c r="B68" s="1" t="s">
        <v>133</v>
      </c>
      <c r="C68" s="4">
        <v>0.0027298459376033516</v>
      </c>
      <c r="D68" s="5">
        <v>1.6081749704417212</v>
      </c>
      <c r="E68" s="129">
        <f t="shared" si="4"/>
        <v>0.004780757722853612</v>
      </c>
      <c r="F68" s="135">
        <f>G68*$D68</f>
        <v>23.49510698315952</v>
      </c>
      <c r="G68" s="135">
        <v>14.609795211963823</v>
      </c>
      <c r="H68" s="136">
        <f>I68*$D68</f>
        <v>0.620433903596416</v>
      </c>
      <c r="I68" s="137">
        <v>0.3858</v>
      </c>
      <c r="J68" s="137">
        <v>0.3858</v>
      </c>
      <c r="K68" s="138">
        <f t="shared" si="59"/>
        <v>0</v>
      </c>
      <c r="L68" s="133">
        <v>0.004780757722853612</v>
      </c>
      <c r="M68" s="133">
        <f t="shared" si="6"/>
        <v>0.007447757055395277</v>
      </c>
      <c r="N68" s="147">
        <f t="shared" si="7"/>
        <v>134.2686116856596</v>
      </c>
      <c r="O68" s="133">
        <f t="shared" si="8"/>
        <v>0.004752808888178336</v>
      </c>
      <c r="P68" s="4">
        <v>0.0027298459376033516</v>
      </c>
      <c r="Q68" s="14">
        <f>P68/$P$7</f>
        <v>0.0036958788861971123</v>
      </c>
      <c r="R68" s="15">
        <f>1/Q68</f>
        <v>270.5716368939117</v>
      </c>
      <c r="S68" s="14">
        <f>R68/$R$7</f>
        <v>0.024153413107700163</v>
      </c>
      <c r="T68" s="15">
        <f>S68*$T$7</f>
        <v>2.2763145293234106</v>
      </c>
      <c r="U68" s="15">
        <f aca="true" t="shared" si="60" ref="U68:U82">T68/J68</f>
        <v>5.900245021574419</v>
      </c>
      <c r="V68" s="5">
        <v>2.0102187130521516</v>
      </c>
      <c r="W68" s="15">
        <f t="shared" si="57"/>
        <v>0</v>
      </c>
      <c r="X68" s="15">
        <f t="shared" si="58"/>
        <v>0</v>
      </c>
      <c r="Y68" s="15">
        <f t="shared" si="13"/>
        <v>0.7755423794955201</v>
      </c>
      <c r="Z68" s="15">
        <f t="shared" si="14"/>
        <v>0</v>
      </c>
      <c r="AA68" s="15">
        <f t="shared" si="1"/>
        <v>0</v>
      </c>
      <c r="AB68" s="16">
        <f t="shared" si="15"/>
        <v>0</v>
      </c>
      <c r="AC68">
        <f t="shared" si="16"/>
        <v>0</v>
      </c>
      <c r="AD68">
        <f t="shared" si="17"/>
        <v>0.7755423794955201</v>
      </c>
      <c r="AE68">
        <f t="shared" si="18"/>
        <v>0</v>
      </c>
      <c r="AF68">
        <f t="shared" si="19"/>
        <v>0</v>
      </c>
      <c r="AG68">
        <f t="shared" si="20"/>
        <v>0</v>
      </c>
      <c r="AH68">
        <f t="shared" si="21"/>
        <v>0</v>
      </c>
      <c r="AI68">
        <f t="shared" si="22"/>
        <v>0.7755423794955201</v>
      </c>
      <c r="AJ68" s="15">
        <f t="shared" si="23"/>
        <v>0</v>
      </c>
      <c r="AK68">
        <f t="shared" si="24"/>
        <v>0</v>
      </c>
      <c r="AL68">
        <f t="shared" si="25"/>
        <v>0</v>
      </c>
      <c r="AM68">
        <f t="shared" si="26"/>
        <v>0</v>
      </c>
      <c r="AN68">
        <f t="shared" si="27"/>
        <v>0.7755423794955201</v>
      </c>
      <c r="AO68" s="15">
        <f t="shared" si="28"/>
        <v>0</v>
      </c>
      <c r="AP68">
        <f t="shared" si="29"/>
        <v>0</v>
      </c>
      <c r="AQ68">
        <f t="shared" si="30"/>
        <v>0</v>
      </c>
      <c r="AR68">
        <f t="shared" si="31"/>
        <v>0</v>
      </c>
      <c r="AS68">
        <f t="shared" si="32"/>
        <v>0.7755423794955201</v>
      </c>
      <c r="AT68" s="15">
        <f t="shared" si="33"/>
        <v>0</v>
      </c>
      <c r="AU68">
        <f t="shared" si="34"/>
        <v>0</v>
      </c>
      <c r="AV68">
        <f t="shared" si="35"/>
        <v>0</v>
      </c>
      <c r="AW68">
        <f t="shared" si="36"/>
        <v>0</v>
      </c>
      <c r="AX68">
        <f t="shared" si="37"/>
        <v>0.7755423794955201</v>
      </c>
      <c r="AY68" s="15">
        <f t="shared" si="38"/>
        <v>0</v>
      </c>
      <c r="AZ68">
        <f t="shared" si="39"/>
        <v>0</v>
      </c>
      <c r="BB68">
        <f t="shared" si="2"/>
        <v>0.7755423794955201</v>
      </c>
      <c r="BC68" s="15">
        <f t="shared" si="3"/>
        <v>0</v>
      </c>
      <c r="BD68" s="15"/>
    </row>
    <row r="69" spans="1:56" ht="12.75">
      <c r="A69" s="1" t="s">
        <v>236</v>
      </c>
      <c r="B69" s="1" t="s">
        <v>134</v>
      </c>
      <c r="C69" s="4">
        <v>0.006789285084334693</v>
      </c>
      <c r="D69" s="5">
        <v>6.1343974970482655</v>
      </c>
      <c r="E69" s="129">
        <f t="shared" si="4"/>
        <v>0.01823624216773628</v>
      </c>
      <c r="F69" s="135">
        <f>G69*$D69</f>
        <v>58.43369297816779</v>
      </c>
      <c r="G69" s="135">
        <v>9.525579815505072</v>
      </c>
      <c r="H69" s="136">
        <f>I69*$D69</f>
        <v>1.103578109718983</v>
      </c>
      <c r="I69" s="137">
        <v>0.1799</v>
      </c>
      <c r="J69" s="137">
        <v>0.1799</v>
      </c>
      <c r="K69" s="138">
        <f t="shared" si="59"/>
        <v>0</v>
      </c>
      <c r="L69" s="133">
        <v>0.01823624216773628</v>
      </c>
      <c r="M69" s="133">
        <f t="shared" si="6"/>
        <v>0.02840953445923316</v>
      </c>
      <c r="N69" s="147">
        <f t="shared" si="7"/>
        <v>35.19945043221213</v>
      </c>
      <c r="O69" s="133">
        <f t="shared" si="8"/>
        <v>0.001245981907259703</v>
      </c>
      <c r="P69" s="4">
        <v>0.006789285084334693</v>
      </c>
      <c r="Q69" s="14">
        <f>P69/$P$7</f>
        <v>0.009191865024293363</v>
      </c>
      <c r="R69" s="15">
        <f>1/Q69</f>
        <v>108.7918498973908</v>
      </c>
      <c r="S69" s="14">
        <f>R69/$R$7</f>
        <v>0.00971164059724737</v>
      </c>
      <c r="T69" s="15">
        <f>S69*$T$7</f>
        <v>0.9152639627578594</v>
      </c>
      <c r="U69" s="15">
        <f t="shared" si="60"/>
        <v>5.087626252128179</v>
      </c>
      <c r="V69" s="5">
        <v>7.667996871310332</v>
      </c>
      <c r="W69" s="15">
        <f t="shared" si="57"/>
        <v>0.9152639627578594</v>
      </c>
      <c r="X69" s="15">
        <f t="shared" si="58"/>
        <v>5.087626252128179</v>
      </c>
      <c r="Y69" s="15">
        <f t="shared" si="13"/>
        <v>0</v>
      </c>
      <c r="Z69" s="15">
        <f t="shared" si="14"/>
        <v>0.9152639627578594</v>
      </c>
      <c r="AA69" s="15">
        <f t="shared" si="1"/>
        <v>2.7600368377192206</v>
      </c>
      <c r="AB69" s="16">
        <f t="shared" si="15"/>
        <v>15.342061354748308</v>
      </c>
      <c r="AC69">
        <f t="shared" si="16"/>
        <v>0</v>
      </c>
      <c r="AD69">
        <f t="shared" si="17"/>
        <v>1.3794726371487287</v>
      </c>
      <c r="AE69">
        <f t="shared" si="18"/>
        <v>0</v>
      </c>
      <c r="AF69">
        <f t="shared" si="19"/>
        <v>0</v>
      </c>
      <c r="AG69">
        <f t="shared" si="20"/>
        <v>0</v>
      </c>
      <c r="AH69">
        <f t="shared" si="21"/>
        <v>0</v>
      </c>
      <c r="AI69">
        <f t="shared" si="22"/>
        <v>1.3794726371487287</v>
      </c>
      <c r="AJ69" s="15">
        <f t="shared" si="23"/>
        <v>0</v>
      </c>
      <c r="AK69">
        <f t="shared" si="24"/>
        <v>0</v>
      </c>
      <c r="AL69">
        <f t="shared" si="25"/>
        <v>0</v>
      </c>
      <c r="AM69">
        <f t="shared" si="26"/>
        <v>0</v>
      </c>
      <c r="AN69">
        <f t="shared" si="27"/>
        <v>1.3794726371487287</v>
      </c>
      <c r="AO69" s="15">
        <f t="shared" si="28"/>
        <v>0</v>
      </c>
      <c r="AP69">
        <f t="shared" si="29"/>
        <v>0</v>
      </c>
      <c r="AQ69">
        <f t="shared" si="30"/>
        <v>0</v>
      </c>
      <c r="AR69">
        <f t="shared" si="31"/>
        <v>0</v>
      </c>
      <c r="AS69">
        <f t="shared" si="32"/>
        <v>1.3794726371487287</v>
      </c>
      <c r="AT69" s="15">
        <f t="shared" si="33"/>
        <v>0</v>
      </c>
      <c r="AU69">
        <f t="shared" si="34"/>
        <v>0</v>
      </c>
      <c r="AV69">
        <f t="shared" si="35"/>
        <v>0</v>
      </c>
      <c r="AW69">
        <f t="shared" si="36"/>
        <v>0</v>
      </c>
      <c r="AX69">
        <f t="shared" si="37"/>
        <v>1.3794726371487287</v>
      </c>
      <c r="AY69" s="15">
        <f t="shared" si="38"/>
        <v>0</v>
      </c>
      <c r="AZ69">
        <f t="shared" si="39"/>
        <v>0</v>
      </c>
      <c r="BB69">
        <f t="shared" si="2"/>
        <v>1.3794726371487287</v>
      </c>
      <c r="BC69" s="15">
        <f t="shared" si="3"/>
        <v>0</v>
      </c>
      <c r="BD69" s="15"/>
    </row>
    <row r="70" spans="1:56" ht="12.75">
      <c r="A70" s="1" t="s">
        <v>237</v>
      </c>
      <c r="B70" s="1" t="s">
        <v>135</v>
      </c>
      <c r="C70" s="4">
        <v>0.0029776518575680743</v>
      </c>
      <c r="D70" s="5">
        <v>2.1529349697250404</v>
      </c>
      <c r="E70" s="129">
        <f t="shared" si="4"/>
        <v>0.006400211837949129</v>
      </c>
      <c r="F70" s="135">
        <f>G70*$D70</f>
        <v>25.627911080427744</v>
      </c>
      <c r="G70" s="135">
        <v>11.90370886292993</v>
      </c>
      <c r="H70" s="136">
        <f>I70*$D70</f>
        <v>0.33801079024683134</v>
      </c>
      <c r="I70" s="137">
        <v>0.157</v>
      </c>
      <c r="J70" s="137">
        <v>0.157</v>
      </c>
      <c r="K70" s="138">
        <f t="shared" si="59"/>
        <v>0</v>
      </c>
      <c r="L70" s="133">
        <v>0.006400211837949129</v>
      </c>
      <c r="M70" s="133">
        <f t="shared" si="6"/>
        <v>0.009970641817769767</v>
      </c>
      <c r="N70" s="147">
        <f t="shared" si="7"/>
        <v>100.29444626300696</v>
      </c>
      <c r="O70" s="133">
        <f t="shared" si="8"/>
        <v>0.0035501993328844053</v>
      </c>
      <c r="P70" s="4">
        <v>0.0029776518575680743</v>
      </c>
      <c r="Q70" s="14">
        <f>P70/$P$7</f>
        <v>0.004031377917426817</v>
      </c>
      <c r="R70" s="15">
        <f>1/Q70</f>
        <v>248.05414438502672</v>
      </c>
      <c r="S70" s="14">
        <f>R70/$R$7</f>
        <v>0.02214331957032806</v>
      </c>
      <c r="T70" s="15">
        <f>S70*$T$7</f>
        <v>2.0868752519833276</v>
      </c>
      <c r="U70" s="15">
        <f t="shared" si="60"/>
        <v>13.292199057218648</v>
      </c>
      <c r="V70" s="5">
        <v>2.6911687121563004</v>
      </c>
      <c r="W70" s="15">
        <f t="shared" si="57"/>
        <v>0</v>
      </c>
      <c r="X70" s="15">
        <f t="shared" si="58"/>
        <v>0</v>
      </c>
      <c r="Y70" s="15">
        <f t="shared" si="13"/>
        <v>0.42251348780853915</v>
      </c>
      <c r="Z70" s="15">
        <f t="shared" si="14"/>
        <v>0</v>
      </c>
      <c r="AA70" s="15">
        <f t="shared" si="1"/>
        <v>0</v>
      </c>
      <c r="AB70" s="16">
        <f t="shared" si="15"/>
        <v>0</v>
      </c>
      <c r="AC70">
        <f t="shared" si="16"/>
        <v>0</v>
      </c>
      <c r="AD70">
        <f t="shared" si="17"/>
        <v>0.42251348780853915</v>
      </c>
      <c r="AE70">
        <f t="shared" si="18"/>
        <v>0</v>
      </c>
      <c r="AF70">
        <f t="shared" si="19"/>
        <v>0</v>
      </c>
      <c r="AG70">
        <f t="shared" si="20"/>
        <v>0</v>
      </c>
      <c r="AH70">
        <f t="shared" si="21"/>
        <v>0</v>
      </c>
      <c r="AI70">
        <f t="shared" si="22"/>
        <v>0.42251348780853915</v>
      </c>
      <c r="AJ70" s="15">
        <f t="shared" si="23"/>
        <v>0</v>
      </c>
      <c r="AK70">
        <f t="shared" si="24"/>
        <v>0</v>
      </c>
      <c r="AL70">
        <f t="shared" si="25"/>
        <v>0</v>
      </c>
      <c r="AM70">
        <f t="shared" si="26"/>
        <v>0</v>
      </c>
      <c r="AN70">
        <f t="shared" si="27"/>
        <v>0.42251348780853915</v>
      </c>
      <c r="AO70" s="15">
        <f t="shared" si="28"/>
        <v>0</v>
      </c>
      <c r="AP70">
        <f t="shared" si="29"/>
        <v>0</v>
      </c>
      <c r="AQ70">
        <f t="shared" si="30"/>
        <v>0</v>
      </c>
      <c r="AR70">
        <f t="shared" si="31"/>
        <v>0</v>
      </c>
      <c r="AS70">
        <f t="shared" si="32"/>
        <v>0.42251348780853915</v>
      </c>
      <c r="AT70" s="15">
        <f t="shared" si="33"/>
        <v>0</v>
      </c>
      <c r="AU70">
        <f t="shared" si="34"/>
        <v>0</v>
      </c>
      <c r="AV70">
        <f t="shared" si="35"/>
        <v>0</v>
      </c>
      <c r="AW70">
        <f t="shared" si="36"/>
        <v>0</v>
      </c>
      <c r="AX70">
        <f t="shared" si="37"/>
        <v>0.42251348780853915</v>
      </c>
      <c r="AY70" s="15">
        <f t="shared" si="38"/>
        <v>0</v>
      </c>
      <c r="AZ70">
        <f t="shared" si="39"/>
        <v>0</v>
      </c>
      <c r="BB70">
        <f t="shared" si="2"/>
        <v>0.42251348780853915</v>
      </c>
      <c r="BC70" s="15">
        <f t="shared" si="3"/>
        <v>0</v>
      </c>
      <c r="BD70" s="15"/>
    </row>
    <row r="71" spans="1:56" ht="12.75">
      <c r="A71" s="1" t="s">
        <v>49</v>
      </c>
      <c r="B71" s="4"/>
      <c r="C71" s="4">
        <v>0.0029945703340315292</v>
      </c>
      <c r="D71" s="5"/>
      <c r="E71" s="129"/>
      <c r="F71" s="135">
        <f>SUM(F72:F73)</f>
        <v>32.21690526445817</v>
      </c>
      <c r="G71" s="128"/>
      <c r="H71" s="136">
        <f>SUM(H72:H73)</f>
        <v>0.3755686070144961</v>
      </c>
      <c r="I71" s="137"/>
      <c r="J71" s="137"/>
      <c r="K71" s="138">
        <f t="shared" si="59"/>
        <v>0</v>
      </c>
      <c r="L71" s="133"/>
      <c r="M71" s="133"/>
      <c r="N71" s="147"/>
      <c r="O71" s="133"/>
      <c r="P71" s="4"/>
      <c r="Q71" s="14"/>
      <c r="R71" s="15"/>
      <c r="S71" s="14"/>
      <c r="U71" s="15"/>
      <c r="V71" s="5"/>
      <c r="Y71" s="15">
        <f t="shared" si="13"/>
        <v>0</v>
      </c>
      <c r="Z71" s="15">
        <f t="shared" si="14"/>
        <v>0</v>
      </c>
      <c r="AA71" s="15">
        <f t="shared" si="1"/>
        <v>0</v>
      </c>
      <c r="AB71" s="16">
        <f t="shared" si="15"/>
        <v>0</v>
      </c>
      <c r="AC71">
        <f t="shared" si="16"/>
        <v>0</v>
      </c>
      <c r="AD71">
        <f t="shared" si="17"/>
        <v>0</v>
      </c>
      <c r="AE71">
        <f t="shared" si="18"/>
        <v>0</v>
      </c>
      <c r="AF71">
        <f t="shared" si="19"/>
        <v>0</v>
      </c>
      <c r="AG71">
        <f t="shared" si="20"/>
        <v>0</v>
      </c>
      <c r="AH71">
        <f t="shared" si="21"/>
        <v>0</v>
      </c>
      <c r="AI71">
        <f t="shared" si="22"/>
        <v>0</v>
      </c>
      <c r="AJ71" s="15">
        <f t="shared" si="23"/>
        <v>0</v>
      </c>
      <c r="AK71">
        <f t="shared" si="24"/>
        <v>0</v>
      </c>
      <c r="AL71">
        <f t="shared" si="25"/>
        <v>0</v>
      </c>
      <c r="AM71">
        <f t="shared" si="26"/>
        <v>0</v>
      </c>
      <c r="AN71">
        <f t="shared" si="27"/>
        <v>0</v>
      </c>
      <c r="AO71" s="15">
        <f t="shared" si="28"/>
        <v>0</v>
      </c>
      <c r="AP71">
        <f t="shared" si="29"/>
        <v>0</v>
      </c>
      <c r="AQ71">
        <f t="shared" si="30"/>
        <v>0</v>
      </c>
      <c r="AR71">
        <f t="shared" si="31"/>
        <v>0</v>
      </c>
      <c r="AS71">
        <f t="shared" si="32"/>
        <v>0</v>
      </c>
      <c r="AT71" s="15">
        <f t="shared" si="33"/>
        <v>0</v>
      </c>
      <c r="AU71">
        <f t="shared" si="34"/>
        <v>0</v>
      </c>
      <c r="AV71">
        <f t="shared" si="35"/>
        <v>0</v>
      </c>
      <c r="AW71">
        <f t="shared" si="36"/>
        <v>0</v>
      </c>
      <c r="AX71">
        <f t="shared" si="37"/>
        <v>0</v>
      </c>
      <c r="AY71" s="15">
        <f t="shared" si="38"/>
        <v>0</v>
      </c>
      <c r="AZ71">
        <f t="shared" si="39"/>
        <v>0</v>
      </c>
      <c r="BB71">
        <f t="shared" si="2"/>
        <v>0</v>
      </c>
      <c r="BC71" s="15">
        <f t="shared" si="3"/>
        <v>0</v>
      </c>
      <c r="BD71" s="15">
        <f>SUM(BB72:BC73)</f>
        <v>0.3755686070144961</v>
      </c>
    </row>
    <row r="72" spans="1:56" ht="12.75">
      <c r="A72" s="1" t="s">
        <v>50</v>
      </c>
      <c r="B72" s="1" t="s">
        <v>127</v>
      </c>
      <c r="C72" s="4">
        <v>0.0024501934737074195</v>
      </c>
      <c r="D72" s="5">
        <v>0.44665339208053745</v>
      </c>
      <c r="E72" s="129">
        <f t="shared" si="4"/>
        <v>0.0013278043079113914</v>
      </c>
      <c r="F72" s="135">
        <f>G72*$D72</f>
        <v>26.36025947527285</v>
      </c>
      <c r="G72" s="135">
        <v>59.01726023502302</v>
      </c>
      <c r="H72" s="136">
        <f>I72*$D72</f>
        <v>0.3026970038129802</v>
      </c>
      <c r="I72" s="137">
        <v>0.6777</v>
      </c>
      <c r="J72" s="137">
        <v>0.6777</v>
      </c>
      <c r="K72" s="138">
        <f t="shared" si="59"/>
        <v>0</v>
      </c>
      <c r="L72" s="133">
        <v>0.0013278043079113914</v>
      </c>
      <c r="M72" s="133">
        <f t="shared" si="6"/>
        <v>0.0020685348381403674</v>
      </c>
      <c r="N72" s="147">
        <f t="shared" si="7"/>
        <v>483.433965704445</v>
      </c>
      <c r="O72" s="133">
        <f t="shared" si="8"/>
        <v>0.017112482360557443</v>
      </c>
      <c r="P72" s="4">
        <v>0.0024501934737074195</v>
      </c>
      <c r="Q72" s="14">
        <f>P72/$P$7</f>
        <v>0.0033172635136045534</v>
      </c>
      <c r="R72" s="15">
        <f>1/Q72</f>
        <v>301.4532900081235</v>
      </c>
      <c r="S72" s="14">
        <f>R72/$R$7</f>
        <v>0.02691015928286822</v>
      </c>
      <c r="T72" s="15">
        <f>S72*$T$7</f>
        <v>2.5361213460333536</v>
      </c>
      <c r="U72" s="15">
        <f t="shared" si="60"/>
        <v>3.7422478176676313</v>
      </c>
      <c r="V72" s="5">
        <v>0.44665339208053745</v>
      </c>
      <c r="W72" s="15">
        <f t="shared" si="57"/>
        <v>0</v>
      </c>
      <c r="X72" s="15">
        <f t="shared" si="58"/>
        <v>0</v>
      </c>
      <c r="Y72" s="15">
        <f t="shared" si="13"/>
        <v>0.3026970038129802</v>
      </c>
      <c r="Z72" s="15">
        <f t="shared" si="14"/>
        <v>0</v>
      </c>
      <c r="AA72" s="15">
        <f t="shared" si="1"/>
        <v>0</v>
      </c>
      <c r="AB72" s="16">
        <f t="shared" si="15"/>
        <v>0</v>
      </c>
      <c r="AC72">
        <f t="shared" si="16"/>
        <v>0</v>
      </c>
      <c r="AD72">
        <f t="shared" si="17"/>
        <v>0.3026970038129802</v>
      </c>
      <c r="AE72">
        <f t="shared" si="18"/>
        <v>0</v>
      </c>
      <c r="AF72">
        <f t="shared" si="19"/>
        <v>0</v>
      </c>
      <c r="AG72">
        <f t="shared" si="20"/>
        <v>0</v>
      </c>
      <c r="AH72">
        <f t="shared" si="21"/>
        <v>0</v>
      </c>
      <c r="AI72">
        <f t="shared" si="22"/>
        <v>0.3026970038129802</v>
      </c>
      <c r="AJ72" s="15">
        <f t="shared" si="23"/>
        <v>0</v>
      </c>
      <c r="AK72">
        <f t="shared" si="24"/>
        <v>0</v>
      </c>
      <c r="AL72">
        <f t="shared" si="25"/>
        <v>0</v>
      </c>
      <c r="AM72">
        <f t="shared" si="26"/>
        <v>0</v>
      </c>
      <c r="AN72">
        <f t="shared" si="27"/>
        <v>0.3026970038129802</v>
      </c>
      <c r="AO72" s="15">
        <f t="shared" si="28"/>
        <v>0</v>
      </c>
      <c r="AP72">
        <f t="shared" si="29"/>
        <v>0</v>
      </c>
      <c r="AQ72">
        <f t="shared" si="30"/>
        <v>0</v>
      </c>
      <c r="AR72">
        <f t="shared" si="31"/>
        <v>0</v>
      </c>
      <c r="AS72">
        <f t="shared" si="32"/>
        <v>0.3026970038129802</v>
      </c>
      <c r="AT72" s="15">
        <f t="shared" si="33"/>
        <v>0</v>
      </c>
      <c r="AU72">
        <f t="shared" si="34"/>
        <v>0</v>
      </c>
      <c r="AV72">
        <f t="shared" si="35"/>
        <v>0</v>
      </c>
      <c r="AW72">
        <f t="shared" si="36"/>
        <v>0</v>
      </c>
      <c r="AX72">
        <f t="shared" si="37"/>
        <v>0.3026970038129802</v>
      </c>
      <c r="AY72" s="15">
        <f t="shared" si="38"/>
        <v>0</v>
      </c>
      <c r="AZ72">
        <f t="shared" si="39"/>
        <v>0</v>
      </c>
      <c r="BB72">
        <f t="shared" si="2"/>
        <v>0.3026970038129802</v>
      </c>
      <c r="BC72" s="15">
        <f t="shared" si="3"/>
        <v>0</v>
      </c>
      <c r="BD72" s="15"/>
    </row>
    <row r="73" spans="1:56" ht="12.75">
      <c r="A73" s="1" t="s">
        <v>51</v>
      </c>
      <c r="B73" s="1" t="s">
        <v>127</v>
      </c>
      <c r="C73" s="4">
        <v>0.0005443768603241098</v>
      </c>
      <c r="D73" s="5">
        <v>0.21876794716756515</v>
      </c>
      <c r="E73" s="129">
        <f t="shared" si="4"/>
        <v>0.0006503499756913234</v>
      </c>
      <c r="F73" s="135">
        <f>G73*$D73</f>
        <v>5.856645789185316</v>
      </c>
      <c r="G73" s="135">
        <v>26.771041484881795</v>
      </c>
      <c r="H73" s="136">
        <f>I73*$D73</f>
        <v>0.07287160320151595</v>
      </c>
      <c r="I73" s="137">
        <v>0.3331</v>
      </c>
      <c r="J73" s="137">
        <v>0.3331</v>
      </c>
      <c r="K73" s="138">
        <f t="shared" si="59"/>
        <v>0</v>
      </c>
      <c r="L73" s="133">
        <v>0.0006503499756913234</v>
      </c>
      <c r="M73" s="133">
        <f t="shared" si="6"/>
        <v>0.001013155006114815</v>
      </c>
      <c r="N73" s="147">
        <f t="shared" si="7"/>
        <v>987.015801101096</v>
      </c>
      <c r="O73" s="133">
        <f t="shared" si="8"/>
        <v>0.03493815429646523</v>
      </c>
      <c r="P73" s="4">
        <v>0.0005443768603241098</v>
      </c>
      <c r="Q73" s="14">
        <f>P73/$P$7</f>
        <v>0.0007370199601712796</v>
      </c>
      <c r="R73" s="15">
        <f>1/Q73</f>
        <v>1356.8153564899453</v>
      </c>
      <c r="S73" s="14">
        <f>R73/$R$7</f>
        <v>0.1211203147247195</v>
      </c>
      <c r="T73" s="15">
        <f>S73*$T$7</f>
        <v>11.414864266789976</v>
      </c>
      <c r="U73" s="15">
        <f t="shared" si="60"/>
        <v>34.268580806934786</v>
      </c>
      <c r="V73" s="5">
        <v>0.21876794716756515</v>
      </c>
      <c r="W73" s="15">
        <f t="shared" si="57"/>
        <v>0</v>
      </c>
      <c r="X73" s="15">
        <f t="shared" si="58"/>
        <v>0</v>
      </c>
      <c r="Y73" s="15">
        <f t="shared" si="13"/>
        <v>0.07287160320151595</v>
      </c>
      <c r="Z73" s="15">
        <f t="shared" si="14"/>
        <v>0</v>
      </c>
      <c r="AA73" s="15">
        <f t="shared" si="1"/>
        <v>0</v>
      </c>
      <c r="AB73" s="16">
        <f t="shared" si="15"/>
        <v>0</v>
      </c>
      <c r="AC73">
        <f t="shared" si="16"/>
        <v>0</v>
      </c>
      <c r="AD73">
        <f t="shared" si="17"/>
        <v>0.07287160320151595</v>
      </c>
      <c r="AE73">
        <f t="shared" si="18"/>
        <v>0</v>
      </c>
      <c r="AF73">
        <f t="shared" si="19"/>
        <v>0</v>
      </c>
      <c r="AG73">
        <f t="shared" si="20"/>
        <v>0</v>
      </c>
      <c r="AH73">
        <f t="shared" si="21"/>
        <v>0</v>
      </c>
      <c r="AI73">
        <f t="shared" si="22"/>
        <v>0.07287160320151595</v>
      </c>
      <c r="AJ73" s="15">
        <f t="shared" si="23"/>
        <v>0</v>
      </c>
      <c r="AK73">
        <f t="shared" si="24"/>
        <v>0</v>
      </c>
      <c r="AL73">
        <f t="shared" si="25"/>
        <v>0</v>
      </c>
      <c r="AM73">
        <f t="shared" si="26"/>
        <v>0</v>
      </c>
      <c r="AN73">
        <f t="shared" si="27"/>
        <v>0.07287160320151595</v>
      </c>
      <c r="AO73" s="15">
        <f t="shared" si="28"/>
        <v>0</v>
      </c>
      <c r="AP73">
        <f t="shared" si="29"/>
        <v>0</v>
      </c>
      <c r="AQ73">
        <f t="shared" si="30"/>
        <v>0</v>
      </c>
      <c r="AR73">
        <f t="shared" si="31"/>
        <v>0</v>
      </c>
      <c r="AS73">
        <f t="shared" si="32"/>
        <v>0.07287160320151595</v>
      </c>
      <c r="AT73" s="15">
        <f t="shared" si="33"/>
        <v>0</v>
      </c>
      <c r="AU73">
        <f t="shared" si="34"/>
        <v>0</v>
      </c>
      <c r="AV73">
        <f t="shared" si="35"/>
        <v>0</v>
      </c>
      <c r="AW73">
        <f t="shared" si="36"/>
        <v>0</v>
      </c>
      <c r="AX73">
        <f t="shared" si="37"/>
        <v>0.07287160320151595</v>
      </c>
      <c r="AY73" s="15">
        <f t="shared" si="38"/>
        <v>0</v>
      </c>
      <c r="AZ73">
        <f t="shared" si="39"/>
        <v>0</v>
      </c>
      <c r="BB73">
        <f t="shared" si="2"/>
        <v>0.07287160320151595</v>
      </c>
      <c r="BC73" s="15">
        <f t="shared" si="3"/>
        <v>0</v>
      </c>
      <c r="BD73" s="15"/>
    </row>
    <row r="74" spans="1:56" ht="12.75">
      <c r="A74" s="1" t="s">
        <v>52</v>
      </c>
      <c r="B74" s="3"/>
      <c r="C74" s="4">
        <v>0.1002778004078933</v>
      </c>
      <c r="D74" s="5"/>
      <c r="E74" s="129"/>
      <c r="F74" s="135">
        <f>SUM(F75+F78+F83+F90)</f>
        <v>863.0661592162364</v>
      </c>
      <c r="G74" s="128"/>
      <c r="H74" s="136">
        <f>SUM(H75+H78+H83+H90)</f>
        <v>15.568284403458296</v>
      </c>
      <c r="I74" s="137"/>
      <c r="J74" s="137"/>
      <c r="K74" s="138">
        <f t="shared" si="59"/>
        <v>0</v>
      </c>
      <c r="L74" s="133"/>
      <c r="M74" s="133"/>
      <c r="N74" s="147"/>
      <c r="O74" s="133"/>
      <c r="P74" s="4"/>
      <c r="Q74" s="14"/>
      <c r="R74" s="15"/>
      <c r="S74" s="14"/>
      <c r="U74" s="15"/>
      <c r="V74" s="5"/>
      <c r="Y74" s="15">
        <f t="shared" si="13"/>
        <v>0</v>
      </c>
      <c r="Z74" s="15">
        <f t="shared" si="14"/>
        <v>0</v>
      </c>
      <c r="AA74" s="15">
        <f t="shared" si="1"/>
        <v>0</v>
      </c>
      <c r="AB74" s="16">
        <f t="shared" si="15"/>
        <v>0</v>
      </c>
      <c r="AC74">
        <f t="shared" si="16"/>
        <v>0</v>
      </c>
      <c r="AD74">
        <f t="shared" si="17"/>
        <v>0</v>
      </c>
      <c r="AE74">
        <f t="shared" si="18"/>
        <v>0</v>
      </c>
      <c r="AF74">
        <f t="shared" si="19"/>
        <v>0</v>
      </c>
      <c r="AG74">
        <f t="shared" si="20"/>
        <v>0</v>
      </c>
      <c r="AH74">
        <f t="shared" si="21"/>
        <v>0</v>
      </c>
      <c r="AI74">
        <f t="shared" si="22"/>
        <v>0</v>
      </c>
      <c r="AJ74" s="15">
        <f t="shared" si="23"/>
        <v>0</v>
      </c>
      <c r="AK74">
        <f t="shared" si="24"/>
        <v>0</v>
      </c>
      <c r="AL74">
        <f t="shared" si="25"/>
        <v>0</v>
      </c>
      <c r="AM74">
        <f t="shared" si="26"/>
        <v>0</v>
      </c>
      <c r="AN74">
        <f t="shared" si="27"/>
        <v>0</v>
      </c>
      <c r="AO74" s="15">
        <f t="shared" si="28"/>
        <v>0</v>
      </c>
      <c r="AP74">
        <f t="shared" si="29"/>
        <v>0</v>
      </c>
      <c r="AQ74">
        <f t="shared" si="30"/>
        <v>0</v>
      </c>
      <c r="AR74">
        <f t="shared" si="31"/>
        <v>0</v>
      </c>
      <c r="AS74">
        <f t="shared" si="32"/>
        <v>0</v>
      </c>
      <c r="AT74" s="15">
        <f t="shared" si="33"/>
        <v>0</v>
      </c>
      <c r="AU74">
        <f t="shared" si="34"/>
        <v>0</v>
      </c>
      <c r="AV74">
        <f t="shared" si="35"/>
        <v>0</v>
      </c>
      <c r="AW74">
        <f t="shared" si="36"/>
        <v>0</v>
      </c>
      <c r="AX74">
        <f t="shared" si="37"/>
        <v>0</v>
      </c>
      <c r="AY74" s="15">
        <f t="shared" si="38"/>
        <v>0</v>
      </c>
      <c r="AZ74">
        <f t="shared" si="39"/>
        <v>0</v>
      </c>
      <c r="BB74">
        <f t="shared" si="2"/>
        <v>0</v>
      </c>
      <c r="BC74" s="15">
        <f t="shared" si="3"/>
        <v>0</v>
      </c>
      <c r="BD74" s="15">
        <f>SUM(BD75+BD78+BD83+BD90)</f>
        <v>17.053768836068357</v>
      </c>
    </row>
    <row r="75" spans="1:56" ht="12.75">
      <c r="A75" s="1" t="s">
        <v>53</v>
      </c>
      <c r="B75" s="3"/>
      <c r="C75" s="4">
        <v>0.011914588248263698</v>
      </c>
      <c r="D75" s="5"/>
      <c r="E75" s="129"/>
      <c r="F75" s="135">
        <f>SUM(F76:F77)</f>
        <v>102.5459062349201</v>
      </c>
      <c r="G75" s="128"/>
      <c r="H75" s="136">
        <f>SUM(H76:H77)</f>
        <v>1.3380527957393342</v>
      </c>
      <c r="I75" s="137"/>
      <c r="J75" s="137"/>
      <c r="K75" s="138">
        <f t="shared" si="59"/>
        <v>0</v>
      </c>
      <c r="L75" s="133"/>
      <c r="M75" s="133"/>
      <c r="N75" s="147"/>
      <c r="O75" s="133"/>
      <c r="P75" s="4"/>
      <c r="Q75" s="14"/>
      <c r="R75" s="15"/>
      <c r="S75" s="14"/>
      <c r="U75" s="15"/>
      <c r="V75" s="5"/>
      <c r="Y75" s="15">
        <f t="shared" si="13"/>
        <v>0</v>
      </c>
      <c r="Z75" s="15">
        <f t="shared" si="14"/>
        <v>0</v>
      </c>
      <c r="AA75" s="15">
        <f aca="true" t="shared" si="61" ref="AA75:AA110">$AA$7/$Z$7*Z75</f>
        <v>0</v>
      </c>
      <c r="AB75" s="16">
        <f t="shared" si="15"/>
        <v>0</v>
      </c>
      <c r="AC75">
        <f t="shared" si="16"/>
        <v>0</v>
      </c>
      <c r="AD75">
        <f t="shared" si="17"/>
        <v>0</v>
      </c>
      <c r="AE75">
        <f t="shared" si="18"/>
        <v>0</v>
      </c>
      <c r="AF75">
        <f t="shared" si="19"/>
        <v>0</v>
      </c>
      <c r="AG75">
        <f t="shared" si="20"/>
        <v>0</v>
      </c>
      <c r="AH75">
        <f t="shared" si="21"/>
        <v>0</v>
      </c>
      <c r="AI75">
        <f t="shared" si="22"/>
        <v>0</v>
      </c>
      <c r="AJ75" s="15">
        <f t="shared" si="23"/>
        <v>0</v>
      </c>
      <c r="AK75">
        <f t="shared" si="24"/>
        <v>0</v>
      </c>
      <c r="AL75">
        <f t="shared" si="25"/>
        <v>0</v>
      </c>
      <c r="AM75">
        <f t="shared" si="26"/>
        <v>0</v>
      </c>
      <c r="AN75">
        <f t="shared" si="27"/>
        <v>0</v>
      </c>
      <c r="AO75" s="15">
        <f t="shared" si="28"/>
        <v>0</v>
      </c>
      <c r="AP75">
        <f t="shared" si="29"/>
        <v>0</v>
      </c>
      <c r="AQ75">
        <f t="shared" si="30"/>
        <v>0</v>
      </c>
      <c r="AR75">
        <f t="shared" si="31"/>
        <v>0</v>
      </c>
      <c r="AS75">
        <f t="shared" si="32"/>
        <v>0</v>
      </c>
      <c r="AT75" s="15">
        <f t="shared" si="33"/>
        <v>0</v>
      </c>
      <c r="AU75">
        <f t="shared" si="34"/>
        <v>0</v>
      </c>
      <c r="AV75">
        <f t="shared" si="35"/>
        <v>0</v>
      </c>
      <c r="AW75">
        <f t="shared" si="36"/>
        <v>0</v>
      </c>
      <c r="AX75">
        <f t="shared" si="37"/>
        <v>0</v>
      </c>
      <c r="AY75" s="15">
        <f t="shared" si="38"/>
        <v>0</v>
      </c>
      <c r="AZ75">
        <f t="shared" si="39"/>
        <v>0</v>
      </c>
      <c r="BB75">
        <f aca="true" t="shared" si="62" ref="BB75:BB113">AX75</f>
        <v>0</v>
      </c>
      <c r="BC75" s="15">
        <f aca="true" t="shared" si="63" ref="BC75:BC113">AZ75</f>
        <v>0</v>
      </c>
      <c r="BD75" s="15">
        <f>SUM(BB76:BC77)</f>
        <v>1.672565994674168</v>
      </c>
    </row>
    <row r="76" spans="1:56" ht="12.75">
      <c r="A76" s="1" t="s">
        <v>262</v>
      </c>
      <c r="B76" s="1" t="s">
        <v>136</v>
      </c>
      <c r="C76" s="4">
        <v>0.0072261798588909715</v>
      </c>
      <c r="D76" s="5">
        <v>0.20014139325139046</v>
      </c>
      <c r="E76" s="129">
        <f aca="true" t="shared" si="64" ref="E76:E113">D76/$D$8</f>
        <v>0.0005949772437923547</v>
      </c>
      <c r="F76" s="135">
        <f>G76*$D76</f>
        <v>62.19393795286959</v>
      </c>
      <c r="G76" s="135">
        <v>310.75</v>
      </c>
      <c r="H76" s="136">
        <f>I76*$D76</f>
        <v>1.111785439511474</v>
      </c>
      <c r="I76" s="137">
        <v>5.555</v>
      </c>
      <c r="J76" s="137">
        <v>5.555</v>
      </c>
      <c r="K76" s="138">
        <v>853.9600000000028</v>
      </c>
      <c r="L76" s="133">
        <v>0.0005949772437923547</v>
      </c>
      <c r="M76" s="133">
        <f aca="true" t="shared" si="65" ref="M76:M110">L76/$L$8</f>
        <v>0.0009268919744816424</v>
      </c>
      <c r="N76" s="147">
        <f aca="true" t="shared" si="66" ref="N76:N110">1/M76</f>
        <v>1078.874375365309</v>
      </c>
      <c r="O76" s="133">
        <f aca="true" t="shared" si="67" ref="O76:O110">N76/$N$8</f>
        <v>0.03818974260692194</v>
      </c>
      <c r="P76" s="4">
        <v>0.0072261798588909715</v>
      </c>
      <c r="Q76" s="14">
        <f>P76/$P$7</f>
        <v>0.009783367332365013</v>
      </c>
      <c r="R76" s="15">
        <f aca="true" t="shared" si="68" ref="R76:R91">1/Q76</f>
        <v>102.21429555157691</v>
      </c>
      <c r="S76" s="14">
        <f aca="true" t="shared" si="69" ref="S76:S91">R76/$R$7</f>
        <v>0.009124474886988232</v>
      </c>
      <c r="T76" s="15">
        <f aca="true" t="shared" si="70" ref="T76:T91">S76*$T$7</f>
        <v>0.8599271111326423</v>
      </c>
      <c r="U76" s="15">
        <f t="shared" si="60"/>
        <v>0.1548023602398996</v>
      </c>
      <c r="V76" s="5">
        <v>0.2501767415642381</v>
      </c>
      <c r="W76" s="15">
        <f aca="true" t="shared" si="71" ref="W76:W91">IF(U76&lt;V76,U76*I76,0)</f>
        <v>0.8599271111326422</v>
      </c>
      <c r="X76" s="15">
        <f aca="true" t="shared" si="72" ref="X76:X91">IF(U76&lt;V76,U66:U76,0)</f>
        <v>0.1548023602398996</v>
      </c>
      <c r="Y76" s="15">
        <f aca="true" t="shared" si="73" ref="Y76:Y107">IF(X76=0,V76*J76,0)</f>
        <v>0</v>
      </c>
      <c r="Z76" s="15">
        <f aca="true" t="shared" si="74" ref="Z76:Z107">IF(X76=0,0,X76*J76)</f>
        <v>0.8599271111326422</v>
      </c>
      <c r="AA76" s="15">
        <f t="shared" si="61"/>
        <v>2.593165033317796</v>
      </c>
      <c r="AB76" s="16">
        <f aca="true" t="shared" si="75" ref="AB76:AB107">IF(J76=0,0,AA76/J76)</f>
        <v>0.4668163876359669</v>
      </c>
      <c r="AC76">
        <f aca="true" t="shared" si="76" ref="AC76:AC107">IF(AB76&lt;V76,AB76,0)</f>
        <v>0</v>
      </c>
      <c r="AD76">
        <f aca="true" t="shared" si="77" ref="AD76:AD107">IF(AC76=0,V76*J76,0)</f>
        <v>1.3897317993893425</v>
      </c>
      <c r="AE76">
        <f aca="true" t="shared" si="78" ref="AE76:AE107">IF(AC76=0,0,J76*AC76)</f>
        <v>0</v>
      </c>
      <c r="AF76">
        <f aca="true" t="shared" si="79" ref="AF76:AF107">$AF$7/$AE$7*AE76</f>
        <v>0</v>
      </c>
      <c r="AG76">
        <f aca="true" t="shared" si="80" ref="AG76:AG107">IF(J76=0,0,AF76/J76)</f>
        <v>0</v>
      </c>
      <c r="AH76">
        <f aca="true" t="shared" si="81" ref="AH76:AH107">IF(AG76&lt;V76,AG76,0)</f>
        <v>0</v>
      </c>
      <c r="AI76">
        <f aca="true" t="shared" si="82" ref="AI76:AI107">IF(AH76=0,$V76*$J76,0)</f>
        <v>1.3897317993893425</v>
      </c>
      <c r="AJ76" s="15">
        <f aca="true" t="shared" si="83" ref="AJ76:AJ107">IF(AH76=0,0,AH76*$J76)</f>
        <v>0</v>
      </c>
      <c r="AK76">
        <f aca="true" t="shared" si="84" ref="AK76:AK107">$AK$7/$AJ$7*AJ76</f>
        <v>0</v>
      </c>
      <c r="AL76">
        <f aca="true" t="shared" si="85" ref="AL76:AL107">IF($J76=0,0,AK76/$J76)</f>
        <v>0</v>
      </c>
      <c r="AM76">
        <f aca="true" t="shared" si="86" ref="AM76:AM107">IF(AL76&lt;$V76,AL76,0)</f>
        <v>0</v>
      </c>
      <c r="AN76">
        <f aca="true" t="shared" si="87" ref="AN76:AN107">IF(AM76=0,$V76*$J76,0)</f>
        <v>1.3897317993893425</v>
      </c>
      <c r="AO76" s="15">
        <f aca="true" t="shared" si="88" ref="AO76:AO107">IF(AM76=0,0,AM76*$J76)</f>
        <v>0</v>
      </c>
      <c r="AP76">
        <f aca="true" t="shared" si="89" ref="AP76:AP107">$AP$7/$AO$7*AO76</f>
        <v>0</v>
      </c>
      <c r="AQ76">
        <f aca="true" t="shared" si="90" ref="AQ76:AQ107">IF($J76=0,0,AP76/$J76)</f>
        <v>0</v>
      </c>
      <c r="AR76">
        <f aca="true" t="shared" si="91" ref="AR76:AR107">IF(AQ76&lt;$V76,AQ76,0)</f>
        <v>0</v>
      </c>
      <c r="AS76">
        <f aca="true" t="shared" si="92" ref="AS76:AS107">IF(AR76=0,$V76*$J76,0)</f>
        <v>1.3897317993893425</v>
      </c>
      <c r="AT76" s="15">
        <f aca="true" t="shared" si="93" ref="AT76:AT107">IF(AR76=0,0,AR76*$J76)</f>
        <v>0</v>
      </c>
      <c r="AU76">
        <f aca="true" t="shared" si="94" ref="AU76:AU107">$AU$7/$AT$7*AT76</f>
        <v>0</v>
      </c>
      <c r="AV76">
        <f aca="true" t="shared" si="95" ref="AV76:AV107">IF($J76=0,0,AU76/$J76)</f>
        <v>0</v>
      </c>
      <c r="AW76">
        <f aca="true" t="shared" si="96" ref="AW76:AW107">IF(AV76&lt;$V76,AV76,0)</f>
        <v>0</v>
      </c>
      <c r="AX76">
        <f aca="true" t="shared" si="97" ref="AX76:AX107">IF(AW76=0,$V76*$J76,0)</f>
        <v>1.3897317993893425</v>
      </c>
      <c r="AY76" s="15">
        <f aca="true" t="shared" si="98" ref="AY76:AY107">IF(AW76=0,0,AW76*$J76)</f>
        <v>0</v>
      </c>
      <c r="AZ76">
        <f aca="true" t="shared" si="99" ref="AZ76:AZ107">$AZ$7/$AY$7*AY76</f>
        <v>0</v>
      </c>
      <c r="BB76">
        <f t="shared" si="62"/>
        <v>1.3897317993893425</v>
      </c>
      <c r="BC76" s="15">
        <f t="shared" si="63"/>
        <v>0</v>
      </c>
      <c r="BD76" s="15"/>
    </row>
    <row r="77" spans="1:56" ht="12.75">
      <c r="A77" s="1" t="s">
        <v>238</v>
      </c>
      <c r="B77" s="1" t="s">
        <v>136</v>
      </c>
      <c r="C77" s="4">
        <v>0.004688408389372727</v>
      </c>
      <c r="D77" s="5">
        <v>0.5879639848761548</v>
      </c>
      <c r="E77" s="129">
        <f t="shared" si="64"/>
        <v>0.0017478902564217755</v>
      </c>
      <c r="F77" s="135">
        <f>G77*$D77</f>
        <v>40.3519682820505</v>
      </c>
      <c r="G77" s="135">
        <v>68.63</v>
      </c>
      <c r="H77" s="136">
        <f>I77*$D77</f>
        <v>0.22626735622786034</v>
      </c>
      <c r="I77" s="137">
        <v>0.38483199999999995</v>
      </c>
      <c r="J77" s="141">
        <v>0.38483199999999995</v>
      </c>
      <c r="K77" s="138" t="s">
        <v>137</v>
      </c>
      <c r="L77" s="133">
        <v>0.0017478902564217755</v>
      </c>
      <c r="M77" s="133">
        <f t="shared" si="65"/>
        <v>0.002722970446105693</v>
      </c>
      <c r="N77" s="147">
        <f t="shared" si="66"/>
        <v>367.2459983655602</v>
      </c>
      <c r="O77" s="133">
        <f t="shared" si="67"/>
        <v>0.012999687888827572</v>
      </c>
      <c r="P77" s="4">
        <v>0.004688408389372727</v>
      </c>
      <c r="Q77" s="14">
        <f>P77/$P$7</f>
        <v>0.006347533880012612</v>
      </c>
      <c r="R77" s="15">
        <f t="shared" si="68"/>
        <v>157.54149862025045</v>
      </c>
      <c r="S77" s="14">
        <f t="shared" si="69"/>
        <v>0.014063428604207503</v>
      </c>
      <c r="T77" s="15">
        <f t="shared" si="70"/>
        <v>1.325393919323735</v>
      </c>
      <c r="U77" s="15">
        <f t="shared" si="60"/>
        <v>3.444084481861527</v>
      </c>
      <c r="V77" s="5">
        <v>0.7349549810951934</v>
      </c>
      <c r="W77" s="15">
        <f t="shared" si="71"/>
        <v>0</v>
      </c>
      <c r="X77" s="15">
        <f t="shared" si="72"/>
        <v>0</v>
      </c>
      <c r="Y77" s="15">
        <f t="shared" si="73"/>
        <v>0.28283419528482545</v>
      </c>
      <c r="Z77" s="15">
        <f t="shared" si="74"/>
        <v>0</v>
      </c>
      <c r="AA77" s="15">
        <f t="shared" si="61"/>
        <v>0</v>
      </c>
      <c r="AB77" s="16">
        <f t="shared" si="75"/>
        <v>0</v>
      </c>
      <c r="AC77">
        <f t="shared" si="76"/>
        <v>0</v>
      </c>
      <c r="AD77">
        <f t="shared" si="77"/>
        <v>0.28283419528482545</v>
      </c>
      <c r="AE77">
        <f t="shared" si="78"/>
        <v>0</v>
      </c>
      <c r="AF77">
        <f t="shared" si="79"/>
        <v>0</v>
      </c>
      <c r="AG77">
        <f t="shared" si="80"/>
        <v>0</v>
      </c>
      <c r="AH77">
        <f t="shared" si="81"/>
        <v>0</v>
      </c>
      <c r="AI77">
        <f t="shared" si="82"/>
        <v>0.28283419528482545</v>
      </c>
      <c r="AJ77" s="15">
        <f t="shared" si="83"/>
        <v>0</v>
      </c>
      <c r="AK77">
        <f t="shared" si="84"/>
        <v>0</v>
      </c>
      <c r="AL77">
        <f t="shared" si="85"/>
        <v>0</v>
      </c>
      <c r="AM77">
        <f t="shared" si="86"/>
        <v>0</v>
      </c>
      <c r="AN77">
        <f t="shared" si="87"/>
        <v>0.28283419528482545</v>
      </c>
      <c r="AO77" s="15">
        <f t="shared" si="88"/>
        <v>0</v>
      </c>
      <c r="AP77">
        <f t="shared" si="89"/>
        <v>0</v>
      </c>
      <c r="AQ77">
        <f t="shared" si="90"/>
        <v>0</v>
      </c>
      <c r="AR77">
        <f t="shared" si="91"/>
        <v>0</v>
      </c>
      <c r="AS77">
        <f t="shared" si="92"/>
        <v>0.28283419528482545</v>
      </c>
      <c r="AT77" s="15">
        <f t="shared" si="93"/>
        <v>0</v>
      </c>
      <c r="AU77">
        <f t="shared" si="94"/>
        <v>0</v>
      </c>
      <c r="AV77">
        <f t="shared" si="95"/>
        <v>0</v>
      </c>
      <c r="AW77">
        <f t="shared" si="96"/>
        <v>0</v>
      </c>
      <c r="AX77">
        <f t="shared" si="97"/>
        <v>0.28283419528482545</v>
      </c>
      <c r="AY77" s="15">
        <f t="shared" si="98"/>
        <v>0</v>
      </c>
      <c r="AZ77">
        <f t="shared" si="99"/>
        <v>0</v>
      </c>
      <c r="BB77">
        <f t="shared" si="62"/>
        <v>0.28283419528482545</v>
      </c>
      <c r="BC77" s="15">
        <f t="shared" si="63"/>
        <v>0</v>
      </c>
      <c r="BD77" s="15"/>
    </row>
    <row r="78" spans="1:57" ht="12.75">
      <c r="A78" s="1" t="s">
        <v>54</v>
      </c>
      <c r="B78" s="4"/>
      <c r="C78" s="4">
        <v>0.047337897144747</v>
      </c>
      <c r="D78" s="5"/>
      <c r="E78" s="129"/>
      <c r="F78" s="135">
        <f>SUM(F79:F82)</f>
        <v>407.4255409263455</v>
      </c>
      <c r="G78" s="128"/>
      <c r="H78" s="136">
        <f>SUM(H79:H82)</f>
        <v>8.271394121430834</v>
      </c>
      <c r="I78" s="137"/>
      <c r="J78" s="137"/>
      <c r="K78" s="138">
        <f aca="true" t="shared" si="100" ref="K78:K101">J78-I78</f>
        <v>0</v>
      </c>
      <c r="L78" s="133"/>
      <c r="M78" s="133"/>
      <c r="N78" s="147"/>
      <c r="O78" s="133"/>
      <c r="P78" s="4"/>
      <c r="Q78" s="14"/>
      <c r="R78" s="15"/>
      <c r="S78" s="14"/>
      <c r="U78" s="15"/>
      <c r="V78" s="5"/>
      <c r="Y78" s="15">
        <f t="shared" si="73"/>
        <v>0</v>
      </c>
      <c r="Z78" s="15">
        <f t="shared" si="74"/>
        <v>0</v>
      </c>
      <c r="AA78" s="15">
        <f t="shared" si="61"/>
        <v>0</v>
      </c>
      <c r="AB78" s="16">
        <f t="shared" si="75"/>
        <v>0</v>
      </c>
      <c r="AC78">
        <f t="shared" si="76"/>
        <v>0</v>
      </c>
      <c r="AD78">
        <f t="shared" si="77"/>
        <v>0</v>
      </c>
      <c r="AE78">
        <f t="shared" si="78"/>
        <v>0</v>
      </c>
      <c r="AF78">
        <f t="shared" si="79"/>
        <v>0</v>
      </c>
      <c r="AG78">
        <f t="shared" si="80"/>
        <v>0</v>
      </c>
      <c r="AH78">
        <f t="shared" si="81"/>
        <v>0</v>
      </c>
      <c r="AI78">
        <f t="shared" si="82"/>
        <v>0</v>
      </c>
      <c r="AJ78" s="15">
        <f t="shared" si="83"/>
        <v>0</v>
      </c>
      <c r="AK78">
        <f t="shared" si="84"/>
        <v>0</v>
      </c>
      <c r="AL78">
        <f t="shared" si="85"/>
        <v>0</v>
      </c>
      <c r="AM78">
        <f t="shared" si="86"/>
        <v>0</v>
      </c>
      <c r="AN78">
        <f t="shared" si="87"/>
        <v>0</v>
      </c>
      <c r="AO78" s="15">
        <f t="shared" si="88"/>
        <v>0</v>
      </c>
      <c r="AP78">
        <f t="shared" si="89"/>
        <v>0</v>
      </c>
      <c r="AQ78">
        <f t="shared" si="90"/>
        <v>0</v>
      </c>
      <c r="AR78">
        <f t="shared" si="91"/>
        <v>0</v>
      </c>
      <c r="AS78">
        <f t="shared" si="92"/>
        <v>0</v>
      </c>
      <c r="AT78" s="15">
        <f t="shared" si="93"/>
        <v>0</v>
      </c>
      <c r="AU78">
        <f t="shared" si="94"/>
        <v>0</v>
      </c>
      <c r="AV78">
        <f t="shared" si="95"/>
        <v>0</v>
      </c>
      <c r="AW78">
        <f t="shared" si="96"/>
        <v>0</v>
      </c>
      <c r="AX78">
        <f t="shared" si="97"/>
        <v>0</v>
      </c>
      <c r="AY78" s="15">
        <f t="shared" si="98"/>
        <v>0</v>
      </c>
      <c r="AZ78">
        <f t="shared" si="99"/>
        <v>0</v>
      </c>
      <c r="BB78">
        <f t="shared" si="62"/>
        <v>0</v>
      </c>
      <c r="BC78" s="15">
        <f t="shared" si="63"/>
        <v>0</v>
      </c>
      <c r="BD78" s="15">
        <f>SUM(BB79:BC82)</f>
        <v>7.932655983534029</v>
      </c>
      <c r="BE78" t="s">
        <v>0</v>
      </c>
    </row>
    <row r="79" spans="1:56" ht="12.75">
      <c r="A79" s="1" t="s">
        <v>55</v>
      </c>
      <c r="B79" s="1" t="s">
        <v>127</v>
      </c>
      <c r="C79" s="4">
        <v>0.011650859056333372</v>
      </c>
      <c r="D79" s="5">
        <v>0.20326057641767753</v>
      </c>
      <c r="E79" s="129">
        <f t="shared" si="64"/>
        <v>0.0006042499033507397</v>
      </c>
      <c r="F79" s="135">
        <f>G79*$D79</f>
        <v>100.27605448481536</v>
      </c>
      <c r="G79" s="135">
        <v>493.33745014458384</v>
      </c>
      <c r="H79" s="136">
        <f>I79*$D79</f>
        <v>2.8728646610298125</v>
      </c>
      <c r="I79" s="137">
        <v>14.1339</v>
      </c>
      <c r="J79" s="137">
        <v>14.1339</v>
      </c>
      <c r="K79" s="138">
        <f t="shared" si="100"/>
        <v>0</v>
      </c>
      <c r="L79" s="133">
        <v>0.0006042499033507397</v>
      </c>
      <c r="M79" s="133">
        <f t="shared" si="65"/>
        <v>0.0009413374912076016</v>
      </c>
      <c r="N79" s="147">
        <f t="shared" si="66"/>
        <v>1062.3182539103407</v>
      </c>
      <c r="O79" s="133">
        <f t="shared" si="67"/>
        <v>0.03760369289495238</v>
      </c>
      <c r="P79" s="4">
        <v>0.011650859056333372</v>
      </c>
      <c r="Q79" s="14">
        <f>P79/$P$7</f>
        <v>0.015773844010466494</v>
      </c>
      <c r="R79" s="15">
        <f t="shared" si="68"/>
        <v>63.39608781071153</v>
      </c>
      <c r="S79" s="14">
        <f t="shared" si="69"/>
        <v>0.0056592476428138335</v>
      </c>
      <c r="T79" s="15">
        <f t="shared" si="70"/>
        <v>0.5333501967997023</v>
      </c>
      <c r="U79" s="15">
        <f t="shared" si="60"/>
        <v>0.03773552924526863</v>
      </c>
      <c r="V79" s="5">
        <v>0.2540757205220969</v>
      </c>
      <c r="W79" s="15">
        <f t="shared" si="71"/>
        <v>0.5333501967997023</v>
      </c>
      <c r="X79" s="15">
        <f t="shared" si="72"/>
        <v>0.03773552924526863</v>
      </c>
      <c r="Y79" s="15">
        <f t="shared" si="73"/>
        <v>0</v>
      </c>
      <c r="Z79" s="15">
        <f t="shared" si="74"/>
        <v>0.5333501967997023</v>
      </c>
      <c r="AA79" s="15">
        <f t="shared" si="61"/>
        <v>1.6083515253199383</v>
      </c>
      <c r="AB79" s="16">
        <f t="shared" si="75"/>
        <v>0.11379389448913167</v>
      </c>
      <c r="AC79">
        <f t="shared" si="76"/>
        <v>0.11379389448913167</v>
      </c>
      <c r="AD79">
        <f t="shared" si="77"/>
        <v>0</v>
      </c>
      <c r="AE79">
        <f t="shared" si="78"/>
        <v>1.6083515253199383</v>
      </c>
      <c r="AF79">
        <f t="shared" si="79"/>
        <v>2.829764194346114</v>
      </c>
      <c r="AG79">
        <f t="shared" si="80"/>
        <v>0.2002111373609629</v>
      </c>
      <c r="AH79">
        <f t="shared" si="81"/>
        <v>0.2002111373609629</v>
      </c>
      <c r="AI79">
        <f t="shared" si="82"/>
        <v>0</v>
      </c>
      <c r="AJ79" s="15">
        <f t="shared" si="83"/>
        <v>2.829764194346114</v>
      </c>
      <c r="AK79">
        <f t="shared" si="84"/>
        <v>3.198111428665013</v>
      </c>
      <c r="AL79">
        <f t="shared" si="85"/>
        <v>0.22627239676699376</v>
      </c>
      <c r="AM79">
        <f t="shared" si="86"/>
        <v>0.22627239676699376</v>
      </c>
      <c r="AN79">
        <f t="shared" si="87"/>
        <v>0</v>
      </c>
      <c r="AO79" s="15">
        <f t="shared" si="88"/>
        <v>3.198111428665013</v>
      </c>
      <c r="AP79">
        <f t="shared" si="89"/>
        <v>3.2177715086307392</v>
      </c>
      <c r="AQ79">
        <f t="shared" si="90"/>
        <v>0.22766338439006495</v>
      </c>
      <c r="AR79">
        <f t="shared" si="91"/>
        <v>0.22766338439006495</v>
      </c>
      <c r="AS79">
        <f t="shared" si="92"/>
        <v>0</v>
      </c>
      <c r="AT79" s="15">
        <f t="shared" si="93"/>
        <v>3.2177715086307392</v>
      </c>
      <c r="AU79">
        <f t="shared" si="94"/>
        <v>3.2177715086307384</v>
      </c>
      <c r="AV79">
        <f t="shared" si="95"/>
        <v>0.2276633843900649</v>
      </c>
      <c r="AW79">
        <f t="shared" si="96"/>
        <v>0.2276633843900649</v>
      </c>
      <c r="AX79">
        <f t="shared" si="97"/>
        <v>0</v>
      </c>
      <c r="AY79" s="15">
        <f t="shared" si="98"/>
        <v>3.2177715086307384</v>
      </c>
      <c r="AZ79">
        <f t="shared" si="99"/>
        <v>3.2177715086307384</v>
      </c>
      <c r="BB79">
        <f t="shared" si="62"/>
        <v>0</v>
      </c>
      <c r="BC79" s="15">
        <f t="shared" si="63"/>
        <v>3.2177715086307384</v>
      </c>
      <c r="BD79" s="15"/>
    </row>
    <row r="80" spans="1:56" ht="12.75">
      <c r="A80" s="1" t="s">
        <v>56</v>
      </c>
      <c r="B80" s="1" t="s">
        <v>127</v>
      </c>
      <c r="C80" s="4">
        <v>0.002023250744129644</v>
      </c>
      <c r="D80" s="5">
        <v>0.16313033166116864</v>
      </c>
      <c r="E80" s="129">
        <f t="shared" si="64"/>
        <v>0.0004849513313259625</v>
      </c>
      <c r="F80" s="135">
        <f>G80*$D80</f>
        <v>17.4136173885393</v>
      </c>
      <c r="G80" s="135">
        <v>106.74665594813119</v>
      </c>
      <c r="H80" s="136">
        <f>I80*$D80</f>
        <v>0.18800770723949686</v>
      </c>
      <c r="I80" s="137">
        <v>1.1525</v>
      </c>
      <c r="J80" s="137">
        <v>1.1525</v>
      </c>
      <c r="K80" s="138">
        <f t="shared" si="100"/>
        <v>0</v>
      </c>
      <c r="L80" s="133">
        <v>0.0004849513313259625</v>
      </c>
      <c r="M80" s="133">
        <f t="shared" si="65"/>
        <v>0.0007554868723300212</v>
      </c>
      <c r="N80" s="147">
        <f t="shared" si="66"/>
        <v>1323.6497371765945</v>
      </c>
      <c r="O80" s="133">
        <f t="shared" si="67"/>
        <v>0.04685424356971843</v>
      </c>
      <c r="P80" s="4">
        <v>0.002023250744129644</v>
      </c>
      <c r="Q80" s="14">
        <f>P80/$P$7</f>
        <v>0.0027392350622087967</v>
      </c>
      <c r="R80" s="15">
        <f t="shared" si="68"/>
        <v>365.0654205607476</v>
      </c>
      <c r="S80" s="14">
        <f t="shared" si="69"/>
        <v>0.03258869264851035</v>
      </c>
      <c r="T80" s="15">
        <f t="shared" si="70"/>
        <v>3.071289106706402</v>
      </c>
      <c r="U80" s="15">
        <f t="shared" si="60"/>
        <v>2.66489293423549</v>
      </c>
      <c r="V80" s="5">
        <v>0.2039129145764608</v>
      </c>
      <c r="W80" s="15">
        <f t="shared" si="71"/>
        <v>0</v>
      </c>
      <c r="X80" s="15">
        <f t="shared" si="72"/>
        <v>0</v>
      </c>
      <c r="Y80" s="15">
        <f t="shared" si="73"/>
        <v>0.23500963404937109</v>
      </c>
      <c r="Z80" s="15">
        <f t="shared" si="74"/>
        <v>0</v>
      </c>
      <c r="AA80" s="15">
        <f t="shared" si="61"/>
        <v>0</v>
      </c>
      <c r="AB80" s="16">
        <f t="shared" si="75"/>
        <v>0</v>
      </c>
      <c r="AC80">
        <f t="shared" si="76"/>
        <v>0</v>
      </c>
      <c r="AD80">
        <f t="shared" si="77"/>
        <v>0.23500963404937109</v>
      </c>
      <c r="AE80">
        <f t="shared" si="78"/>
        <v>0</v>
      </c>
      <c r="AF80">
        <f t="shared" si="79"/>
        <v>0</v>
      </c>
      <c r="AG80">
        <f t="shared" si="80"/>
        <v>0</v>
      </c>
      <c r="AH80">
        <f t="shared" si="81"/>
        <v>0</v>
      </c>
      <c r="AI80">
        <f t="shared" si="82"/>
        <v>0.23500963404937109</v>
      </c>
      <c r="AJ80" s="15">
        <f t="shared" si="83"/>
        <v>0</v>
      </c>
      <c r="AK80">
        <f t="shared" si="84"/>
        <v>0</v>
      </c>
      <c r="AL80">
        <f t="shared" si="85"/>
        <v>0</v>
      </c>
      <c r="AM80">
        <f t="shared" si="86"/>
        <v>0</v>
      </c>
      <c r="AN80">
        <f t="shared" si="87"/>
        <v>0.23500963404937109</v>
      </c>
      <c r="AO80" s="15">
        <f t="shared" si="88"/>
        <v>0</v>
      </c>
      <c r="AP80">
        <f t="shared" si="89"/>
        <v>0</v>
      </c>
      <c r="AQ80">
        <f t="shared" si="90"/>
        <v>0</v>
      </c>
      <c r="AR80">
        <f t="shared" si="91"/>
        <v>0</v>
      </c>
      <c r="AS80">
        <f t="shared" si="92"/>
        <v>0.23500963404937109</v>
      </c>
      <c r="AT80" s="15">
        <f t="shared" si="93"/>
        <v>0</v>
      </c>
      <c r="AU80">
        <f t="shared" si="94"/>
        <v>0</v>
      </c>
      <c r="AV80">
        <f t="shared" si="95"/>
        <v>0</v>
      </c>
      <c r="AW80">
        <f t="shared" si="96"/>
        <v>0</v>
      </c>
      <c r="AX80">
        <f t="shared" si="97"/>
        <v>0.23500963404937109</v>
      </c>
      <c r="AY80" s="15">
        <f t="shared" si="98"/>
        <v>0</v>
      </c>
      <c r="AZ80">
        <f t="shared" si="99"/>
        <v>0</v>
      </c>
      <c r="BB80">
        <f t="shared" si="62"/>
        <v>0.23500963404937109</v>
      </c>
      <c r="BC80" s="15">
        <f t="shared" si="63"/>
        <v>0</v>
      </c>
      <c r="BD80" s="15"/>
    </row>
    <row r="81" spans="1:56" ht="12.75">
      <c r="A81" s="1" t="s">
        <v>239</v>
      </c>
      <c r="B81" s="1" t="s">
        <v>127</v>
      </c>
      <c r="C81" s="4">
        <v>0.018095803384411864</v>
      </c>
      <c r="D81" s="5">
        <v>0.20902730396763886</v>
      </c>
      <c r="E81" s="129">
        <f t="shared" si="64"/>
        <v>0.0006213931419763836</v>
      </c>
      <c r="F81" s="135">
        <f>G81*$D81</f>
        <v>155.74609197039356</v>
      </c>
      <c r="G81" s="135">
        <v>745.0992717894205</v>
      </c>
      <c r="H81" s="136">
        <f>I81*$D81</f>
        <v>2.8598697674244415</v>
      </c>
      <c r="I81" s="137">
        <v>13.6818</v>
      </c>
      <c r="J81" s="137">
        <v>13.6818</v>
      </c>
      <c r="K81" s="138">
        <f t="shared" si="100"/>
        <v>0</v>
      </c>
      <c r="L81" s="133">
        <v>0.0006213931419763836</v>
      </c>
      <c r="M81" s="133">
        <f t="shared" si="65"/>
        <v>0.0009680442778360304</v>
      </c>
      <c r="N81" s="147">
        <f t="shared" si="66"/>
        <v>1033.010599716992</v>
      </c>
      <c r="O81" s="133">
        <f t="shared" si="67"/>
        <v>0.03656626741186248</v>
      </c>
      <c r="P81" s="4">
        <v>0.018095803384411864</v>
      </c>
      <c r="Q81" s="14">
        <f>P81/$P$7</f>
        <v>0.024499513593774003</v>
      </c>
      <c r="R81" s="15">
        <f t="shared" si="68"/>
        <v>40.817136886102396</v>
      </c>
      <c r="S81" s="14">
        <f t="shared" si="69"/>
        <v>0.00364366783008423</v>
      </c>
      <c r="T81" s="15">
        <f t="shared" si="70"/>
        <v>0.34339387086477013</v>
      </c>
      <c r="U81" s="15">
        <f t="shared" si="60"/>
        <v>0.02509858869920406</v>
      </c>
      <c r="V81" s="5">
        <v>0.2612841299595486</v>
      </c>
      <c r="W81" s="15">
        <f t="shared" si="71"/>
        <v>0.34339387086477013</v>
      </c>
      <c r="X81" s="15">
        <f t="shared" si="72"/>
        <v>0.02509858869920406</v>
      </c>
      <c r="Y81" s="15">
        <f t="shared" si="73"/>
        <v>0</v>
      </c>
      <c r="Z81" s="15">
        <f t="shared" si="74"/>
        <v>0.34339387086477013</v>
      </c>
      <c r="AA81" s="15">
        <f t="shared" si="61"/>
        <v>1.0355261126833042</v>
      </c>
      <c r="AB81" s="16">
        <f t="shared" si="75"/>
        <v>0.07568639453020101</v>
      </c>
      <c r="AC81">
        <f t="shared" si="76"/>
        <v>0.07568639453020101</v>
      </c>
      <c r="AD81">
        <f t="shared" si="77"/>
        <v>0</v>
      </c>
      <c r="AE81">
        <f t="shared" si="78"/>
        <v>1.0355261126833042</v>
      </c>
      <c r="AF81">
        <f t="shared" si="79"/>
        <v>1.8219242931974897</v>
      </c>
      <c r="AG81">
        <f t="shared" si="80"/>
        <v>0.1331640787906189</v>
      </c>
      <c r="AH81">
        <f t="shared" si="81"/>
        <v>0.1331640787906189</v>
      </c>
      <c r="AI81">
        <f t="shared" si="82"/>
        <v>0</v>
      </c>
      <c r="AJ81" s="15">
        <f t="shared" si="83"/>
        <v>1.8219242931974897</v>
      </c>
      <c r="AK81">
        <f t="shared" si="84"/>
        <v>2.0590821369070733</v>
      </c>
      <c r="AL81">
        <f t="shared" si="85"/>
        <v>0.1504978977113445</v>
      </c>
      <c r="AM81">
        <f t="shared" si="86"/>
        <v>0.1504978977113445</v>
      </c>
      <c r="AN81">
        <f t="shared" si="87"/>
        <v>0</v>
      </c>
      <c r="AO81" s="15">
        <f t="shared" si="88"/>
        <v>2.0590821369070733</v>
      </c>
      <c r="AP81">
        <f t="shared" si="89"/>
        <v>2.0717401447252968</v>
      </c>
      <c r="AQ81">
        <f t="shared" si="90"/>
        <v>0.1514230689474555</v>
      </c>
      <c r="AR81">
        <f t="shared" si="91"/>
        <v>0.1514230689474555</v>
      </c>
      <c r="AS81">
        <f t="shared" si="92"/>
        <v>0</v>
      </c>
      <c r="AT81" s="15">
        <f t="shared" si="93"/>
        <v>2.0717401447252968</v>
      </c>
      <c r="AU81">
        <f t="shared" si="94"/>
        <v>2.071740144725296</v>
      </c>
      <c r="AV81">
        <f t="shared" si="95"/>
        <v>0.15142306894745544</v>
      </c>
      <c r="AW81">
        <f t="shared" si="96"/>
        <v>0.15142306894745544</v>
      </c>
      <c r="AX81">
        <f t="shared" si="97"/>
        <v>0</v>
      </c>
      <c r="AY81" s="15">
        <f t="shared" si="98"/>
        <v>2.071740144725296</v>
      </c>
      <c r="AZ81">
        <f t="shared" si="99"/>
        <v>2.071740144725296</v>
      </c>
      <c r="BB81">
        <f t="shared" si="62"/>
        <v>0</v>
      </c>
      <c r="BC81" s="15">
        <f t="shared" si="63"/>
        <v>2.071740144725296</v>
      </c>
      <c r="BD81" s="15"/>
    </row>
    <row r="82" spans="1:56" ht="12.75">
      <c r="A82" s="1" t="s">
        <v>57</v>
      </c>
      <c r="B82" s="1" t="s">
        <v>127</v>
      </c>
      <c r="C82" s="4">
        <v>0.015567983959872122</v>
      </c>
      <c r="D82" s="5">
        <v>0.13794096506878023</v>
      </c>
      <c r="E82" s="129">
        <f t="shared" si="64"/>
        <v>0.00041006877122911283</v>
      </c>
      <c r="F82" s="135">
        <f>G82*$D82</f>
        <v>133.9897770825973</v>
      </c>
      <c r="G82" s="135">
        <v>971.3559493786869</v>
      </c>
      <c r="H82" s="136">
        <f>I82*$D82</f>
        <v>2.350651985737084</v>
      </c>
      <c r="I82" s="137">
        <v>17.041</v>
      </c>
      <c r="J82" s="137">
        <v>17.041</v>
      </c>
      <c r="K82" s="138">
        <f t="shared" si="100"/>
        <v>0</v>
      </c>
      <c r="L82" s="133">
        <v>0.00041006877122911283</v>
      </c>
      <c r="M82" s="133">
        <f t="shared" si="65"/>
        <v>0.0006388302359517862</v>
      </c>
      <c r="N82" s="147">
        <f t="shared" si="66"/>
        <v>1565.3610986494887</v>
      </c>
      <c r="O82" s="133">
        <f t="shared" si="67"/>
        <v>0.055410285765727485</v>
      </c>
      <c r="P82" s="4">
        <v>0.015567983959872122</v>
      </c>
      <c r="Q82" s="14">
        <f>P82/$P$7</f>
        <v>0.021077153998097495</v>
      </c>
      <c r="R82" s="15">
        <f t="shared" si="68"/>
        <v>47.444735664514475</v>
      </c>
      <c r="S82" s="14">
        <f t="shared" si="69"/>
        <v>0.004235300911233239</v>
      </c>
      <c r="T82" s="15">
        <f t="shared" si="70"/>
        <v>0.3991517454410354</v>
      </c>
      <c r="U82" s="15">
        <f t="shared" si="60"/>
        <v>0.023423023616045736</v>
      </c>
      <c r="V82" s="5">
        <v>0.1724262063359753</v>
      </c>
      <c r="W82" s="15">
        <f t="shared" si="71"/>
        <v>0.3991517454410354</v>
      </c>
      <c r="X82" s="15">
        <f t="shared" si="72"/>
        <v>0.023423023616045736</v>
      </c>
      <c r="Y82" s="15">
        <f t="shared" si="73"/>
        <v>0</v>
      </c>
      <c r="Z82" s="15">
        <f t="shared" si="74"/>
        <v>0.3991517454410354</v>
      </c>
      <c r="AA82" s="15">
        <f t="shared" si="61"/>
        <v>1.203667538638402</v>
      </c>
      <c r="AB82" s="16">
        <f t="shared" si="75"/>
        <v>0.0706336211864563</v>
      </c>
      <c r="AC82">
        <f t="shared" si="76"/>
        <v>0.0706336211864563</v>
      </c>
      <c r="AD82">
        <f t="shared" si="77"/>
        <v>0</v>
      </c>
      <c r="AE82">
        <f t="shared" si="78"/>
        <v>1.203667538638402</v>
      </c>
      <c r="AF82">
        <f t="shared" si="79"/>
        <v>2.1177555087393696</v>
      </c>
      <c r="AG82">
        <f t="shared" si="80"/>
        <v>0.12427413348626075</v>
      </c>
      <c r="AH82">
        <f t="shared" si="81"/>
        <v>0.12427413348626075</v>
      </c>
      <c r="AI82">
        <f t="shared" si="82"/>
        <v>0</v>
      </c>
      <c r="AJ82" s="15">
        <f t="shared" si="83"/>
        <v>2.1177555087393696</v>
      </c>
      <c r="AK82">
        <f t="shared" si="84"/>
        <v>2.393421370285835</v>
      </c>
      <c r="AL82">
        <f t="shared" si="85"/>
        <v>0.14045075818824218</v>
      </c>
      <c r="AM82">
        <f t="shared" si="86"/>
        <v>0.14045075818824218</v>
      </c>
      <c r="AN82">
        <f t="shared" si="87"/>
        <v>0</v>
      </c>
      <c r="AO82" s="15">
        <f t="shared" si="88"/>
        <v>2.393421370285835</v>
      </c>
      <c r="AP82">
        <f t="shared" si="89"/>
        <v>2.4081346961286245</v>
      </c>
      <c r="AQ82">
        <f t="shared" si="90"/>
        <v>0.14131416560815824</v>
      </c>
      <c r="AR82">
        <f t="shared" si="91"/>
        <v>0.14131416560815824</v>
      </c>
      <c r="AS82">
        <f t="shared" si="92"/>
        <v>0</v>
      </c>
      <c r="AT82" s="15">
        <f t="shared" si="93"/>
        <v>2.4081346961286245</v>
      </c>
      <c r="AU82">
        <f t="shared" si="94"/>
        <v>2.4081346961286236</v>
      </c>
      <c r="AV82">
        <f t="shared" si="95"/>
        <v>0.14131416560815818</v>
      </c>
      <c r="AW82">
        <f t="shared" si="96"/>
        <v>0.14131416560815818</v>
      </c>
      <c r="AX82">
        <f t="shared" si="97"/>
        <v>0</v>
      </c>
      <c r="AY82" s="15">
        <f t="shared" si="98"/>
        <v>2.4081346961286236</v>
      </c>
      <c r="AZ82">
        <f t="shared" si="99"/>
        <v>2.4081346961286236</v>
      </c>
      <c r="BB82">
        <f t="shared" si="62"/>
        <v>0</v>
      </c>
      <c r="BC82" s="15">
        <f t="shared" si="63"/>
        <v>2.4081346961286236</v>
      </c>
      <c r="BD82" s="15"/>
    </row>
    <row r="83" spans="1:56" ht="12.75">
      <c r="A83" s="1" t="s">
        <v>58</v>
      </c>
      <c r="B83" s="4"/>
      <c r="C83" s="4">
        <v>0.03658073172748319</v>
      </c>
      <c r="D83" s="5"/>
      <c r="E83" s="129"/>
      <c r="F83" s="135">
        <f>SUM(F84:F89)</f>
        <v>314.8412859569794</v>
      </c>
      <c r="G83" s="128"/>
      <c r="H83" s="136">
        <f>SUM(H84:H89)</f>
        <v>5.354655267136437</v>
      </c>
      <c r="I83" s="137"/>
      <c r="J83" s="137"/>
      <c r="K83" s="138">
        <f t="shared" si="100"/>
        <v>0</v>
      </c>
      <c r="L83" s="133"/>
      <c r="M83" s="133"/>
      <c r="N83" s="147"/>
      <c r="O83" s="133"/>
      <c r="P83" s="4"/>
      <c r="Q83" s="14"/>
      <c r="R83" s="15"/>
      <c r="S83" s="14"/>
      <c r="U83" s="15"/>
      <c r="V83" s="5"/>
      <c r="Y83" s="15">
        <f t="shared" si="73"/>
        <v>0</v>
      </c>
      <c r="Z83" s="15">
        <f t="shared" si="74"/>
        <v>0</v>
      </c>
      <c r="AA83" s="15">
        <f t="shared" si="61"/>
        <v>0</v>
      </c>
      <c r="AB83" s="16">
        <f t="shared" si="75"/>
        <v>0</v>
      </c>
      <c r="AC83">
        <f t="shared" si="76"/>
        <v>0</v>
      </c>
      <c r="AD83">
        <f t="shared" si="77"/>
        <v>0</v>
      </c>
      <c r="AE83">
        <f t="shared" si="78"/>
        <v>0</v>
      </c>
      <c r="AF83">
        <f t="shared" si="79"/>
        <v>0</v>
      </c>
      <c r="AG83">
        <f t="shared" si="80"/>
        <v>0</v>
      </c>
      <c r="AH83">
        <f t="shared" si="81"/>
        <v>0</v>
      </c>
      <c r="AI83">
        <f t="shared" si="82"/>
        <v>0</v>
      </c>
      <c r="AJ83" s="15">
        <f t="shared" si="83"/>
        <v>0</v>
      </c>
      <c r="AK83">
        <f t="shared" si="84"/>
        <v>0</v>
      </c>
      <c r="AL83">
        <f t="shared" si="85"/>
        <v>0</v>
      </c>
      <c r="AM83">
        <f t="shared" si="86"/>
        <v>0</v>
      </c>
      <c r="AN83">
        <f t="shared" si="87"/>
        <v>0</v>
      </c>
      <c r="AO83" s="15">
        <f t="shared" si="88"/>
        <v>0</v>
      </c>
      <c r="AP83">
        <f t="shared" si="89"/>
        <v>0</v>
      </c>
      <c r="AQ83">
        <f t="shared" si="90"/>
        <v>0</v>
      </c>
      <c r="AR83">
        <f t="shared" si="91"/>
        <v>0</v>
      </c>
      <c r="AS83">
        <f t="shared" si="92"/>
        <v>0</v>
      </c>
      <c r="AT83" s="15">
        <f t="shared" si="93"/>
        <v>0</v>
      </c>
      <c r="AU83">
        <f t="shared" si="94"/>
        <v>0</v>
      </c>
      <c r="AV83">
        <f t="shared" si="95"/>
        <v>0</v>
      </c>
      <c r="AW83">
        <f t="shared" si="96"/>
        <v>0</v>
      </c>
      <c r="AX83">
        <f t="shared" si="97"/>
        <v>0</v>
      </c>
      <c r="AY83" s="15">
        <f t="shared" si="98"/>
        <v>0</v>
      </c>
      <c r="AZ83">
        <f t="shared" si="99"/>
        <v>0</v>
      </c>
      <c r="BB83">
        <f t="shared" si="62"/>
        <v>0</v>
      </c>
      <c r="BC83" s="15">
        <f t="shared" si="63"/>
        <v>0</v>
      </c>
      <c r="BD83" s="15">
        <f>SUM(BB84:BC89)</f>
        <v>6.693319083920544</v>
      </c>
    </row>
    <row r="84" spans="1:56" ht="12.75">
      <c r="A84" s="1" t="s">
        <v>59</v>
      </c>
      <c r="B84" s="1" t="s">
        <v>127</v>
      </c>
      <c r="C84" s="4">
        <v>0.005188001047293573</v>
      </c>
      <c r="D84" s="5">
        <v>0.090517637760301</v>
      </c>
      <c r="E84" s="129">
        <f t="shared" si="64"/>
        <v>0.00026908943599474267</v>
      </c>
      <c r="F84" s="135">
        <f aca="true" t="shared" si="101" ref="F84:F89">G84*$D84</f>
        <v>44.65183838979606</v>
      </c>
      <c r="G84" s="135">
        <v>493.29434013775546</v>
      </c>
      <c r="H84" s="136">
        <f aca="true" t="shared" si="102" ref="H84:H89">I84*$D84</f>
        <v>0.8739115855206021</v>
      </c>
      <c r="I84" s="137">
        <v>9.6546</v>
      </c>
      <c r="J84" s="137">
        <v>9.6546</v>
      </c>
      <c r="K84" s="138">
        <f t="shared" si="100"/>
        <v>0</v>
      </c>
      <c r="L84" s="133">
        <v>0.00026908943599474267</v>
      </c>
      <c r="M84" s="133">
        <f t="shared" si="65"/>
        <v>0.0004192039968647344</v>
      </c>
      <c r="N84" s="147">
        <f t="shared" si="66"/>
        <v>2385.4734388963197</v>
      </c>
      <c r="O84" s="133">
        <f t="shared" si="67"/>
        <v>0.0844404304219873</v>
      </c>
      <c r="P84" s="4">
        <v>0.005188001047293573</v>
      </c>
      <c r="Q84" s="14">
        <f aca="true" t="shared" si="103" ref="Q84:Q89">P84/$P$7</f>
        <v>0.007023921485142378</v>
      </c>
      <c r="R84" s="15">
        <f t="shared" si="68"/>
        <v>142.3706119317092</v>
      </c>
      <c r="S84" s="14">
        <f t="shared" si="69"/>
        <v>0.01270915253297939</v>
      </c>
      <c r="T84" s="15">
        <f t="shared" si="70"/>
        <v>1.1977615104419943</v>
      </c>
      <c r="U84" s="15">
        <f aca="true" t="shared" si="104" ref="U84:U110">T84/J84</f>
        <v>0.1240612257827351</v>
      </c>
      <c r="V84" s="5">
        <v>0.11314704720037624</v>
      </c>
      <c r="W84" s="15">
        <f t="shared" si="71"/>
        <v>0</v>
      </c>
      <c r="X84" s="15">
        <f t="shared" si="72"/>
        <v>0</v>
      </c>
      <c r="Y84" s="15">
        <f t="shared" si="73"/>
        <v>1.0923894819007525</v>
      </c>
      <c r="Z84" s="15">
        <f t="shared" si="74"/>
        <v>0</v>
      </c>
      <c r="AA84" s="15">
        <f t="shared" si="61"/>
        <v>0</v>
      </c>
      <c r="AB84" s="16">
        <f t="shared" si="75"/>
        <v>0</v>
      </c>
      <c r="AC84">
        <f t="shared" si="76"/>
        <v>0</v>
      </c>
      <c r="AD84">
        <f t="shared" si="77"/>
        <v>1.0923894819007525</v>
      </c>
      <c r="AE84">
        <f t="shared" si="78"/>
        <v>0</v>
      </c>
      <c r="AF84">
        <f t="shared" si="79"/>
        <v>0</v>
      </c>
      <c r="AG84">
        <f t="shared" si="80"/>
        <v>0</v>
      </c>
      <c r="AH84">
        <f t="shared" si="81"/>
        <v>0</v>
      </c>
      <c r="AI84">
        <f t="shared" si="82"/>
        <v>1.0923894819007525</v>
      </c>
      <c r="AJ84" s="15">
        <f t="shared" si="83"/>
        <v>0</v>
      </c>
      <c r="AK84">
        <f t="shared" si="84"/>
        <v>0</v>
      </c>
      <c r="AL84">
        <f t="shared" si="85"/>
        <v>0</v>
      </c>
      <c r="AM84">
        <f t="shared" si="86"/>
        <v>0</v>
      </c>
      <c r="AN84">
        <f t="shared" si="87"/>
        <v>1.0923894819007525</v>
      </c>
      <c r="AO84" s="15">
        <f t="shared" si="88"/>
        <v>0</v>
      </c>
      <c r="AP84">
        <f t="shared" si="89"/>
        <v>0</v>
      </c>
      <c r="AQ84">
        <f t="shared" si="90"/>
        <v>0</v>
      </c>
      <c r="AR84">
        <f t="shared" si="91"/>
        <v>0</v>
      </c>
      <c r="AS84">
        <f t="shared" si="92"/>
        <v>1.0923894819007525</v>
      </c>
      <c r="AT84" s="15">
        <f t="shared" si="93"/>
        <v>0</v>
      </c>
      <c r="AU84">
        <f t="shared" si="94"/>
        <v>0</v>
      </c>
      <c r="AV84">
        <f t="shared" si="95"/>
        <v>0</v>
      </c>
      <c r="AW84">
        <f t="shared" si="96"/>
        <v>0</v>
      </c>
      <c r="AX84">
        <f t="shared" si="97"/>
        <v>1.0923894819007525</v>
      </c>
      <c r="AY84" s="15">
        <f t="shared" si="98"/>
        <v>0</v>
      </c>
      <c r="AZ84">
        <f t="shared" si="99"/>
        <v>0</v>
      </c>
      <c r="BB84">
        <f t="shared" si="62"/>
        <v>1.0923894819007525</v>
      </c>
      <c r="BC84" s="15">
        <f t="shared" si="63"/>
        <v>0</v>
      </c>
      <c r="BD84" s="15"/>
    </row>
    <row r="85" spans="1:56" ht="12.75">
      <c r="A85" s="1" t="s">
        <v>60</v>
      </c>
      <c r="B85" s="1" t="s">
        <v>127</v>
      </c>
      <c r="C85" s="4">
        <v>0.0011604084444934407</v>
      </c>
      <c r="D85" s="5">
        <v>0.13569216907714682</v>
      </c>
      <c r="E85" s="129">
        <f t="shared" si="64"/>
        <v>0.00040338358522527227</v>
      </c>
      <c r="F85" s="135">
        <f t="shared" si="101"/>
        <v>9.98734770046081</v>
      </c>
      <c r="G85" s="135">
        <v>73.60297774282446</v>
      </c>
      <c r="H85" s="136">
        <f t="shared" si="102"/>
        <v>0.18912774525972723</v>
      </c>
      <c r="I85" s="137">
        <v>1.3938</v>
      </c>
      <c r="J85" s="137">
        <v>1.3938</v>
      </c>
      <c r="K85" s="138">
        <f t="shared" si="100"/>
        <v>0</v>
      </c>
      <c r="L85" s="133">
        <v>0.00040338358522527227</v>
      </c>
      <c r="M85" s="133">
        <f t="shared" si="65"/>
        <v>0.0006284156439324662</v>
      </c>
      <c r="N85" s="147">
        <f t="shared" si="66"/>
        <v>1591.3034782874802</v>
      </c>
      <c r="O85" s="133">
        <f t="shared" si="67"/>
        <v>0.05632858804781708</v>
      </c>
      <c r="P85" s="4">
        <v>0.0011604084444934407</v>
      </c>
      <c r="Q85" s="14">
        <f t="shared" si="103"/>
        <v>0.0015710516884089802</v>
      </c>
      <c r="R85" s="15">
        <f t="shared" si="68"/>
        <v>636.5162950257289</v>
      </c>
      <c r="S85" s="14">
        <f t="shared" si="69"/>
        <v>0.05682059361442672</v>
      </c>
      <c r="T85" s="15">
        <f t="shared" si="70"/>
        <v>5.355000646598728</v>
      </c>
      <c r="U85" s="15">
        <f t="shared" si="104"/>
        <v>3.8420151001569294</v>
      </c>
      <c r="V85" s="5">
        <v>0.1696152113464335</v>
      </c>
      <c r="W85" s="15">
        <f t="shared" si="71"/>
        <v>0</v>
      </c>
      <c r="X85" s="15">
        <f t="shared" si="72"/>
        <v>0</v>
      </c>
      <c r="Y85" s="15">
        <f t="shared" si="73"/>
        <v>0.23640968157465903</v>
      </c>
      <c r="Z85" s="15">
        <f t="shared" si="74"/>
        <v>0</v>
      </c>
      <c r="AA85" s="15">
        <f t="shared" si="61"/>
        <v>0</v>
      </c>
      <c r="AB85" s="16">
        <f t="shared" si="75"/>
        <v>0</v>
      </c>
      <c r="AC85">
        <f t="shared" si="76"/>
        <v>0</v>
      </c>
      <c r="AD85">
        <f t="shared" si="77"/>
        <v>0.23640968157465903</v>
      </c>
      <c r="AE85">
        <f t="shared" si="78"/>
        <v>0</v>
      </c>
      <c r="AF85">
        <f t="shared" si="79"/>
        <v>0</v>
      </c>
      <c r="AG85">
        <f t="shared" si="80"/>
        <v>0</v>
      </c>
      <c r="AH85">
        <f t="shared" si="81"/>
        <v>0</v>
      </c>
      <c r="AI85">
        <f t="shared" si="82"/>
        <v>0.23640968157465903</v>
      </c>
      <c r="AJ85" s="15">
        <f t="shared" si="83"/>
        <v>0</v>
      </c>
      <c r="AK85">
        <f t="shared" si="84"/>
        <v>0</v>
      </c>
      <c r="AL85">
        <f t="shared" si="85"/>
        <v>0</v>
      </c>
      <c r="AM85">
        <f t="shared" si="86"/>
        <v>0</v>
      </c>
      <c r="AN85">
        <f t="shared" si="87"/>
        <v>0.23640968157465903</v>
      </c>
      <c r="AO85" s="15">
        <f t="shared" si="88"/>
        <v>0</v>
      </c>
      <c r="AP85">
        <f t="shared" si="89"/>
        <v>0</v>
      </c>
      <c r="AQ85">
        <f t="shared" si="90"/>
        <v>0</v>
      </c>
      <c r="AR85">
        <f t="shared" si="91"/>
        <v>0</v>
      </c>
      <c r="AS85">
        <f t="shared" si="92"/>
        <v>0.23640968157465903</v>
      </c>
      <c r="AT85" s="15">
        <f t="shared" si="93"/>
        <v>0</v>
      </c>
      <c r="AU85">
        <f t="shared" si="94"/>
        <v>0</v>
      </c>
      <c r="AV85">
        <f t="shared" si="95"/>
        <v>0</v>
      </c>
      <c r="AW85">
        <f t="shared" si="96"/>
        <v>0</v>
      </c>
      <c r="AX85">
        <f t="shared" si="97"/>
        <v>0.23640968157465903</v>
      </c>
      <c r="AY85" s="15">
        <f t="shared" si="98"/>
        <v>0</v>
      </c>
      <c r="AZ85">
        <f t="shared" si="99"/>
        <v>0</v>
      </c>
      <c r="BB85">
        <f t="shared" si="62"/>
        <v>0.23640968157465903</v>
      </c>
      <c r="BC85" s="15">
        <f t="shared" si="63"/>
        <v>0</v>
      </c>
      <c r="BD85" s="15"/>
    </row>
    <row r="86" spans="1:56" ht="12.75">
      <c r="A86" s="1" t="s">
        <v>61</v>
      </c>
      <c r="B86" s="1" t="s">
        <v>127</v>
      </c>
      <c r="C86" s="4">
        <v>0.007302810605225444</v>
      </c>
      <c r="D86" s="5">
        <v>0.12652940066863674</v>
      </c>
      <c r="E86" s="129">
        <f t="shared" si="64"/>
        <v>0.00037614464876820774</v>
      </c>
      <c r="F86" s="135">
        <f t="shared" si="101"/>
        <v>62.8534797821453</v>
      </c>
      <c r="G86" s="135">
        <v>496.75</v>
      </c>
      <c r="H86" s="136">
        <f t="shared" si="102"/>
        <v>1.073677882313784</v>
      </c>
      <c r="I86" s="137">
        <v>8.4856</v>
      </c>
      <c r="J86" s="137">
        <v>8.4856</v>
      </c>
      <c r="K86" s="138">
        <f t="shared" si="100"/>
        <v>0</v>
      </c>
      <c r="L86" s="133">
        <v>0.00037614464876820774</v>
      </c>
      <c r="M86" s="133">
        <f t="shared" si="65"/>
        <v>0.0005859811611705005</v>
      </c>
      <c r="N86" s="147">
        <f t="shared" si="66"/>
        <v>1706.5395037657775</v>
      </c>
      <c r="O86" s="133">
        <f t="shared" si="67"/>
        <v>0.060407685904387026</v>
      </c>
      <c r="P86" s="4">
        <v>0.007302810605225444</v>
      </c>
      <c r="Q86" s="14">
        <f t="shared" si="103"/>
        <v>0.00988711602876938</v>
      </c>
      <c r="R86" s="15">
        <f t="shared" si="68"/>
        <v>101.14172799127826</v>
      </c>
      <c r="S86" s="14">
        <f t="shared" si="69"/>
        <v>0.009028728829983857</v>
      </c>
      <c r="T86" s="15">
        <f t="shared" si="70"/>
        <v>0.8509036186882141</v>
      </c>
      <c r="U86" s="15">
        <f t="shared" si="104"/>
        <v>0.10027618774019681</v>
      </c>
      <c r="V86" s="5">
        <v>0.15816175083579592</v>
      </c>
      <c r="W86" s="15">
        <f t="shared" si="71"/>
        <v>0.8509036186882141</v>
      </c>
      <c r="X86" s="15">
        <f t="shared" si="72"/>
        <v>0.10027618774019681</v>
      </c>
      <c r="Y86" s="15">
        <f t="shared" si="73"/>
        <v>0</v>
      </c>
      <c r="Z86" s="15">
        <f t="shared" si="74"/>
        <v>0.8509036186882141</v>
      </c>
      <c r="AA86" s="15">
        <f t="shared" si="61"/>
        <v>2.5659541165059303</v>
      </c>
      <c r="AB86" s="16">
        <f t="shared" si="75"/>
        <v>0.3023892378271342</v>
      </c>
      <c r="AC86">
        <f t="shared" si="76"/>
        <v>0</v>
      </c>
      <c r="AD86">
        <f t="shared" si="77"/>
        <v>1.3420973528922298</v>
      </c>
      <c r="AE86">
        <f t="shared" si="78"/>
        <v>0</v>
      </c>
      <c r="AF86">
        <f t="shared" si="79"/>
        <v>0</v>
      </c>
      <c r="AG86">
        <f t="shared" si="80"/>
        <v>0</v>
      </c>
      <c r="AH86">
        <f t="shared" si="81"/>
        <v>0</v>
      </c>
      <c r="AI86">
        <f t="shared" si="82"/>
        <v>1.3420973528922298</v>
      </c>
      <c r="AJ86" s="15">
        <f t="shared" si="83"/>
        <v>0</v>
      </c>
      <c r="AK86">
        <f t="shared" si="84"/>
        <v>0</v>
      </c>
      <c r="AL86">
        <f t="shared" si="85"/>
        <v>0</v>
      </c>
      <c r="AM86">
        <f t="shared" si="86"/>
        <v>0</v>
      </c>
      <c r="AN86">
        <f t="shared" si="87"/>
        <v>1.3420973528922298</v>
      </c>
      <c r="AO86" s="15">
        <f t="shared" si="88"/>
        <v>0</v>
      </c>
      <c r="AP86">
        <f t="shared" si="89"/>
        <v>0</v>
      </c>
      <c r="AQ86">
        <f t="shared" si="90"/>
        <v>0</v>
      </c>
      <c r="AR86">
        <f t="shared" si="91"/>
        <v>0</v>
      </c>
      <c r="AS86">
        <f t="shared" si="92"/>
        <v>1.3420973528922298</v>
      </c>
      <c r="AT86" s="15">
        <f t="shared" si="93"/>
        <v>0</v>
      </c>
      <c r="AU86">
        <f t="shared" si="94"/>
        <v>0</v>
      </c>
      <c r="AV86">
        <f t="shared" si="95"/>
        <v>0</v>
      </c>
      <c r="AW86">
        <f t="shared" si="96"/>
        <v>0</v>
      </c>
      <c r="AX86">
        <f t="shared" si="97"/>
        <v>1.3420973528922298</v>
      </c>
      <c r="AY86" s="15">
        <f t="shared" si="98"/>
        <v>0</v>
      </c>
      <c r="AZ86">
        <f t="shared" si="99"/>
        <v>0</v>
      </c>
      <c r="BB86">
        <f t="shared" si="62"/>
        <v>1.3420973528922298</v>
      </c>
      <c r="BC86" s="15">
        <f t="shared" si="63"/>
        <v>0</v>
      </c>
      <c r="BD86" s="15"/>
    </row>
    <row r="87" spans="1:56" ht="12.75">
      <c r="A87" s="1" t="s">
        <v>62</v>
      </c>
      <c r="B87" s="1" t="s">
        <v>138</v>
      </c>
      <c r="C87" s="4">
        <v>0.002473083177157976</v>
      </c>
      <c r="D87" s="5">
        <v>0.6728956467323728</v>
      </c>
      <c r="E87" s="129">
        <f t="shared" si="64"/>
        <v>0.0020003737894930423</v>
      </c>
      <c r="F87" s="135">
        <f t="shared" si="101"/>
        <v>21.285213581170762</v>
      </c>
      <c r="G87" s="135">
        <v>31.632265247268595</v>
      </c>
      <c r="H87" s="136">
        <f t="shared" si="102"/>
        <v>0.38731873425915375</v>
      </c>
      <c r="I87" s="137">
        <v>0.5756</v>
      </c>
      <c r="J87" s="137">
        <v>0.5756</v>
      </c>
      <c r="K87" s="138">
        <f t="shared" si="100"/>
        <v>0</v>
      </c>
      <c r="L87" s="133">
        <v>0.0020003737894930423</v>
      </c>
      <c r="M87" s="133">
        <f t="shared" si="65"/>
        <v>0.0031163047507941624</v>
      </c>
      <c r="N87" s="147">
        <f t="shared" si="66"/>
        <v>320.8928779334431</v>
      </c>
      <c r="O87" s="133">
        <f t="shared" si="67"/>
        <v>0.011358890981652157</v>
      </c>
      <c r="P87" s="4">
        <v>0.002473083177157976</v>
      </c>
      <c r="Q87" s="14">
        <f t="shared" si="103"/>
        <v>0.003348253383959104</v>
      </c>
      <c r="R87" s="15">
        <f t="shared" si="68"/>
        <v>298.6631790744467</v>
      </c>
      <c r="S87" s="14">
        <f t="shared" si="69"/>
        <v>0.026661091410230004</v>
      </c>
      <c r="T87" s="15">
        <f t="shared" si="70"/>
        <v>2.5126481907179543</v>
      </c>
      <c r="U87" s="15">
        <f t="shared" si="104"/>
        <v>4.36526787824523</v>
      </c>
      <c r="V87" s="5">
        <v>0.841119558415466</v>
      </c>
      <c r="W87" s="15">
        <f t="shared" si="71"/>
        <v>0</v>
      </c>
      <c r="X87" s="15">
        <f t="shared" si="72"/>
        <v>0</v>
      </c>
      <c r="Y87" s="15">
        <f t="shared" si="73"/>
        <v>0.48414841782394225</v>
      </c>
      <c r="Z87" s="15">
        <f t="shared" si="74"/>
        <v>0</v>
      </c>
      <c r="AA87" s="15">
        <f t="shared" si="61"/>
        <v>0</v>
      </c>
      <c r="AB87" s="16">
        <f t="shared" si="75"/>
        <v>0</v>
      </c>
      <c r="AC87">
        <f t="shared" si="76"/>
        <v>0</v>
      </c>
      <c r="AD87">
        <f t="shared" si="77"/>
        <v>0.48414841782394225</v>
      </c>
      <c r="AE87">
        <f t="shared" si="78"/>
        <v>0</v>
      </c>
      <c r="AF87">
        <f t="shared" si="79"/>
        <v>0</v>
      </c>
      <c r="AG87">
        <f t="shared" si="80"/>
        <v>0</v>
      </c>
      <c r="AH87">
        <f t="shared" si="81"/>
        <v>0</v>
      </c>
      <c r="AI87">
        <f t="shared" si="82"/>
        <v>0.48414841782394225</v>
      </c>
      <c r="AJ87" s="15">
        <f t="shared" si="83"/>
        <v>0</v>
      </c>
      <c r="AK87">
        <f t="shared" si="84"/>
        <v>0</v>
      </c>
      <c r="AL87">
        <f t="shared" si="85"/>
        <v>0</v>
      </c>
      <c r="AM87">
        <f t="shared" si="86"/>
        <v>0</v>
      </c>
      <c r="AN87">
        <f t="shared" si="87"/>
        <v>0.48414841782394225</v>
      </c>
      <c r="AO87" s="15">
        <f t="shared" si="88"/>
        <v>0</v>
      </c>
      <c r="AP87">
        <f t="shared" si="89"/>
        <v>0</v>
      </c>
      <c r="AQ87">
        <f t="shared" si="90"/>
        <v>0</v>
      </c>
      <c r="AR87">
        <f t="shared" si="91"/>
        <v>0</v>
      </c>
      <c r="AS87">
        <f t="shared" si="92"/>
        <v>0.48414841782394225</v>
      </c>
      <c r="AT87" s="15">
        <f t="shared" si="93"/>
        <v>0</v>
      </c>
      <c r="AU87">
        <f t="shared" si="94"/>
        <v>0</v>
      </c>
      <c r="AV87">
        <f t="shared" si="95"/>
        <v>0</v>
      </c>
      <c r="AW87">
        <f t="shared" si="96"/>
        <v>0</v>
      </c>
      <c r="AX87">
        <f t="shared" si="97"/>
        <v>0.48414841782394225</v>
      </c>
      <c r="AY87" s="15">
        <f t="shared" si="98"/>
        <v>0</v>
      </c>
      <c r="AZ87">
        <f t="shared" si="99"/>
        <v>0</v>
      </c>
      <c r="BB87">
        <f t="shared" si="62"/>
        <v>0.48414841782394225</v>
      </c>
      <c r="BC87" s="15">
        <f t="shared" si="63"/>
        <v>0</v>
      </c>
      <c r="BD87" s="15"/>
    </row>
    <row r="88" spans="1:56" ht="12.75">
      <c r="A88" s="1" t="s">
        <v>240</v>
      </c>
      <c r="B88" s="1" t="s">
        <v>127</v>
      </c>
      <c r="C88" s="4">
        <v>0.007098793683166134</v>
      </c>
      <c r="D88" s="5">
        <v>0.09742269257949118</v>
      </c>
      <c r="E88" s="129">
        <f t="shared" si="64"/>
        <v>0.00028961667635124674</v>
      </c>
      <c r="F88" s="135">
        <f t="shared" si="101"/>
        <v>61.097556730177494</v>
      </c>
      <c r="G88" s="135">
        <v>627.1388637747359</v>
      </c>
      <c r="H88" s="136">
        <f t="shared" si="102"/>
        <v>1.3456314567157062</v>
      </c>
      <c r="I88" s="137">
        <v>13.8123</v>
      </c>
      <c r="J88" s="137">
        <v>13.8123</v>
      </c>
      <c r="K88" s="138">
        <f t="shared" si="100"/>
        <v>0</v>
      </c>
      <c r="L88" s="133">
        <v>0.00028961667635124674</v>
      </c>
      <c r="M88" s="133">
        <f t="shared" si="65"/>
        <v>0.00045118258855577985</v>
      </c>
      <c r="N88" s="147">
        <f t="shared" si="66"/>
        <v>2216.397585733452</v>
      </c>
      <c r="O88" s="133">
        <f t="shared" si="67"/>
        <v>0.0784555229473341</v>
      </c>
      <c r="P88" s="4">
        <v>0.007098793683166134</v>
      </c>
      <c r="Q88" s="14">
        <f t="shared" si="103"/>
        <v>0.009610901966913598</v>
      </c>
      <c r="R88" s="15">
        <f t="shared" si="68"/>
        <v>104.04850693957661</v>
      </c>
      <c r="S88" s="14">
        <f t="shared" si="69"/>
        <v>0.009288211433397106</v>
      </c>
      <c r="T88" s="15">
        <f t="shared" si="70"/>
        <v>0.8753583000047829</v>
      </c>
      <c r="U88" s="15">
        <f t="shared" si="104"/>
        <v>0.06337527421246156</v>
      </c>
      <c r="V88" s="5">
        <v>0.12177836572436398</v>
      </c>
      <c r="W88" s="15">
        <f t="shared" si="71"/>
        <v>0.8753583000047828</v>
      </c>
      <c r="X88" s="15">
        <f t="shared" si="72"/>
        <v>0.06337527421246156</v>
      </c>
      <c r="Y88" s="15">
        <f t="shared" si="73"/>
        <v>0</v>
      </c>
      <c r="Z88" s="15">
        <f t="shared" si="74"/>
        <v>0.8753583000047828</v>
      </c>
      <c r="AA88" s="15">
        <f t="shared" si="61"/>
        <v>2.639698767267702</v>
      </c>
      <c r="AB88" s="16">
        <f t="shared" si="75"/>
        <v>0.1911121802500454</v>
      </c>
      <c r="AC88">
        <f t="shared" si="76"/>
        <v>0</v>
      </c>
      <c r="AD88">
        <f t="shared" si="77"/>
        <v>1.6820393208946327</v>
      </c>
      <c r="AE88">
        <f t="shared" si="78"/>
        <v>0</v>
      </c>
      <c r="AF88">
        <f t="shared" si="79"/>
        <v>0</v>
      </c>
      <c r="AG88">
        <f t="shared" si="80"/>
        <v>0</v>
      </c>
      <c r="AH88">
        <f t="shared" si="81"/>
        <v>0</v>
      </c>
      <c r="AI88">
        <f t="shared" si="82"/>
        <v>1.6820393208946327</v>
      </c>
      <c r="AJ88" s="15">
        <f t="shared" si="83"/>
        <v>0</v>
      </c>
      <c r="AK88">
        <f t="shared" si="84"/>
        <v>0</v>
      </c>
      <c r="AL88">
        <f t="shared" si="85"/>
        <v>0</v>
      </c>
      <c r="AM88">
        <f t="shared" si="86"/>
        <v>0</v>
      </c>
      <c r="AN88">
        <f t="shared" si="87"/>
        <v>1.6820393208946327</v>
      </c>
      <c r="AO88" s="15">
        <f t="shared" si="88"/>
        <v>0</v>
      </c>
      <c r="AP88">
        <f t="shared" si="89"/>
        <v>0</v>
      </c>
      <c r="AQ88">
        <f t="shared" si="90"/>
        <v>0</v>
      </c>
      <c r="AR88">
        <f t="shared" si="91"/>
        <v>0</v>
      </c>
      <c r="AS88">
        <f t="shared" si="92"/>
        <v>1.6820393208946327</v>
      </c>
      <c r="AT88" s="15">
        <f t="shared" si="93"/>
        <v>0</v>
      </c>
      <c r="AU88">
        <f t="shared" si="94"/>
        <v>0</v>
      </c>
      <c r="AV88">
        <f t="shared" si="95"/>
        <v>0</v>
      </c>
      <c r="AW88">
        <f t="shared" si="96"/>
        <v>0</v>
      </c>
      <c r="AX88">
        <f t="shared" si="97"/>
        <v>1.6820393208946327</v>
      </c>
      <c r="AY88" s="15">
        <f t="shared" si="98"/>
        <v>0</v>
      </c>
      <c r="AZ88">
        <f t="shared" si="99"/>
        <v>0</v>
      </c>
      <c r="BB88">
        <f t="shared" si="62"/>
        <v>1.6820393208946327</v>
      </c>
      <c r="BC88" s="15">
        <f t="shared" si="63"/>
        <v>0</v>
      </c>
      <c r="BD88" s="15"/>
    </row>
    <row r="89" spans="1:56" ht="12.75">
      <c r="A89" s="1" t="s">
        <v>63</v>
      </c>
      <c r="B89" s="1" t="s">
        <v>127</v>
      </c>
      <c r="C89" s="4">
        <v>0.013357634770146622</v>
      </c>
      <c r="D89" s="5">
        <v>0.1411894105239228</v>
      </c>
      <c r="E89" s="129">
        <f t="shared" si="64"/>
        <v>0.00041972569972407374</v>
      </c>
      <c r="F89" s="135">
        <f t="shared" si="101"/>
        <v>114.965849773229</v>
      </c>
      <c r="G89" s="135">
        <v>814.2668019266887</v>
      </c>
      <c r="H89" s="136">
        <f t="shared" si="102"/>
        <v>1.4849878630674629</v>
      </c>
      <c r="I89" s="137">
        <v>10.5177</v>
      </c>
      <c r="J89" s="137">
        <v>10.5177</v>
      </c>
      <c r="K89" s="138">
        <f t="shared" si="100"/>
        <v>0</v>
      </c>
      <c r="L89" s="133">
        <v>0.00041972569972407374</v>
      </c>
      <c r="M89" s="133">
        <f t="shared" si="65"/>
        <v>0.000653874390351826</v>
      </c>
      <c r="N89" s="147">
        <f t="shared" si="66"/>
        <v>1529.345719537871</v>
      </c>
      <c r="O89" s="133">
        <f t="shared" si="67"/>
        <v>0.05413542180605871</v>
      </c>
      <c r="P89" s="4">
        <v>0.013357634770146622</v>
      </c>
      <c r="Q89" s="14">
        <f t="shared" si="103"/>
        <v>0.018084610430381932</v>
      </c>
      <c r="R89" s="15">
        <f t="shared" si="68"/>
        <v>55.295634033676045</v>
      </c>
      <c r="S89" s="14">
        <f t="shared" si="69"/>
        <v>0.004936135609776602</v>
      </c>
      <c r="T89" s="15">
        <f t="shared" si="70"/>
        <v>0.46520121844241663</v>
      </c>
      <c r="U89" s="15">
        <f t="shared" si="104"/>
        <v>0.04423031826753156</v>
      </c>
      <c r="V89" s="5">
        <v>0.1764867631549035</v>
      </c>
      <c r="W89" s="15">
        <f t="shared" si="71"/>
        <v>0.46520121844241663</v>
      </c>
      <c r="X89" s="15">
        <f t="shared" si="72"/>
        <v>0.04423031826753156</v>
      </c>
      <c r="Y89" s="15">
        <f t="shared" si="73"/>
        <v>0</v>
      </c>
      <c r="Z89" s="15">
        <f t="shared" si="74"/>
        <v>0.46520121844241663</v>
      </c>
      <c r="AA89" s="15">
        <f t="shared" si="61"/>
        <v>1.4028439358456655</v>
      </c>
      <c r="AB89" s="16">
        <f t="shared" si="75"/>
        <v>0.13337934489913816</v>
      </c>
      <c r="AC89">
        <f t="shared" si="76"/>
        <v>0.13337934489913816</v>
      </c>
      <c r="AD89">
        <f t="shared" si="77"/>
        <v>0</v>
      </c>
      <c r="AE89">
        <f t="shared" si="78"/>
        <v>1.4028439358456655</v>
      </c>
      <c r="AF89">
        <f t="shared" si="79"/>
        <v>2.4681902416338817</v>
      </c>
      <c r="AG89">
        <f t="shared" si="80"/>
        <v>0.23467015047338122</v>
      </c>
      <c r="AH89">
        <f t="shared" si="81"/>
        <v>0</v>
      </c>
      <c r="AI89">
        <f t="shared" si="82"/>
        <v>1.8562348288343284</v>
      </c>
      <c r="AJ89" s="15">
        <f t="shared" si="83"/>
        <v>0</v>
      </c>
      <c r="AK89">
        <f t="shared" si="84"/>
        <v>0</v>
      </c>
      <c r="AL89">
        <f t="shared" si="85"/>
        <v>0</v>
      </c>
      <c r="AM89">
        <f t="shared" si="86"/>
        <v>0</v>
      </c>
      <c r="AN89">
        <f t="shared" si="87"/>
        <v>1.8562348288343284</v>
      </c>
      <c r="AO89" s="15">
        <f t="shared" si="88"/>
        <v>0</v>
      </c>
      <c r="AP89">
        <f t="shared" si="89"/>
        <v>0</v>
      </c>
      <c r="AQ89">
        <f t="shared" si="90"/>
        <v>0</v>
      </c>
      <c r="AR89">
        <f t="shared" si="91"/>
        <v>0</v>
      </c>
      <c r="AS89">
        <f t="shared" si="92"/>
        <v>1.8562348288343284</v>
      </c>
      <c r="AT89" s="15">
        <f t="shared" si="93"/>
        <v>0</v>
      </c>
      <c r="AU89">
        <f t="shared" si="94"/>
        <v>0</v>
      </c>
      <c r="AV89">
        <f t="shared" si="95"/>
        <v>0</v>
      </c>
      <c r="AW89">
        <f t="shared" si="96"/>
        <v>0</v>
      </c>
      <c r="AX89">
        <f t="shared" si="97"/>
        <v>1.8562348288343284</v>
      </c>
      <c r="AY89" s="15">
        <f t="shared" si="98"/>
        <v>0</v>
      </c>
      <c r="AZ89">
        <f t="shared" si="99"/>
        <v>0</v>
      </c>
      <c r="BB89">
        <f t="shared" si="62"/>
        <v>1.8562348288343284</v>
      </c>
      <c r="BC89" s="15">
        <f t="shared" si="63"/>
        <v>0</v>
      </c>
      <c r="BD89" s="15"/>
    </row>
    <row r="90" spans="1:56" ht="12.75">
      <c r="A90" s="1" t="s">
        <v>224</v>
      </c>
      <c r="B90" s="4"/>
      <c r="C90" s="4">
        <v>0.004444583287399405</v>
      </c>
      <c r="D90" s="5"/>
      <c r="E90" s="129"/>
      <c r="F90" s="135">
        <f>SUM(F91)</f>
        <v>38.25342609799141</v>
      </c>
      <c r="G90" s="128"/>
      <c r="H90" s="136">
        <f>SUM(H91)</f>
        <v>0.6041822191516916</v>
      </c>
      <c r="I90" s="137"/>
      <c r="J90" s="137"/>
      <c r="K90" s="138">
        <f t="shared" si="100"/>
        <v>0</v>
      </c>
      <c r="L90" s="133"/>
      <c r="M90" s="133"/>
      <c r="N90" s="147"/>
      <c r="O90" s="133"/>
      <c r="P90" s="4"/>
      <c r="Q90" s="14"/>
      <c r="R90" s="15"/>
      <c r="S90" s="14"/>
      <c r="U90" s="15"/>
      <c r="V90" s="5"/>
      <c r="Y90" s="15">
        <f t="shared" si="73"/>
        <v>0</v>
      </c>
      <c r="Z90" s="15">
        <f t="shared" si="74"/>
        <v>0</v>
      </c>
      <c r="AA90" s="15">
        <f t="shared" si="61"/>
        <v>0</v>
      </c>
      <c r="AB90" s="16">
        <f t="shared" si="75"/>
        <v>0</v>
      </c>
      <c r="AC90">
        <f t="shared" si="76"/>
        <v>0</v>
      </c>
      <c r="AD90">
        <f t="shared" si="77"/>
        <v>0</v>
      </c>
      <c r="AE90">
        <f t="shared" si="78"/>
        <v>0</v>
      </c>
      <c r="AF90">
        <f t="shared" si="79"/>
        <v>0</v>
      </c>
      <c r="AG90">
        <f t="shared" si="80"/>
        <v>0</v>
      </c>
      <c r="AH90">
        <f t="shared" si="81"/>
        <v>0</v>
      </c>
      <c r="AI90">
        <f t="shared" si="82"/>
        <v>0</v>
      </c>
      <c r="AJ90" s="15">
        <f t="shared" si="83"/>
        <v>0</v>
      </c>
      <c r="AK90">
        <f t="shared" si="84"/>
        <v>0</v>
      </c>
      <c r="AL90">
        <f t="shared" si="85"/>
        <v>0</v>
      </c>
      <c r="AM90">
        <f t="shared" si="86"/>
        <v>0</v>
      </c>
      <c r="AN90">
        <f t="shared" si="87"/>
        <v>0</v>
      </c>
      <c r="AO90" s="15">
        <f t="shared" si="88"/>
        <v>0</v>
      </c>
      <c r="AP90">
        <f t="shared" si="89"/>
        <v>0</v>
      </c>
      <c r="AQ90">
        <f t="shared" si="90"/>
        <v>0</v>
      </c>
      <c r="AR90">
        <f t="shared" si="91"/>
        <v>0</v>
      </c>
      <c r="AS90">
        <f t="shared" si="92"/>
        <v>0</v>
      </c>
      <c r="AT90" s="15">
        <f t="shared" si="93"/>
        <v>0</v>
      </c>
      <c r="AU90">
        <f t="shared" si="94"/>
        <v>0</v>
      </c>
      <c r="AV90">
        <f t="shared" si="95"/>
        <v>0</v>
      </c>
      <c r="AW90">
        <f t="shared" si="96"/>
        <v>0</v>
      </c>
      <c r="AX90">
        <f t="shared" si="97"/>
        <v>0</v>
      </c>
      <c r="AY90" s="15">
        <f t="shared" si="98"/>
        <v>0</v>
      </c>
      <c r="AZ90">
        <f t="shared" si="99"/>
        <v>0</v>
      </c>
      <c r="BB90">
        <f t="shared" si="62"/>
        <v>0</v>
      </c>
      <c r="BC90" s="15">
        <f t="shared" si="63"/>
        <v>0</v>
      </c>
      <c r="BD90" s="15">
        <f>SUM(BB91:BC91)</f>
        <v>0.7552277739396145</v>
      </c>
    </row>
    <row r="91" spans="1:56" ht="12.75">
      <c r="A91" s="1" t="s">
        <v>241</v>
      </c>
      <c r="B91" s="1" t="s">
        <v>138</v>
      </c>
      <c r="C91" s="4">
        <v>0.004444583287399405</v>
      </c>
      <c r="D91" s="5">
        <v>0.1811152070360897</v>
      </c>
      <c r="E91" s="129">
        <f t="shared" si="64"/>
        <v>0.0005384164911646315</v>
      </c>
      <c r="F91" s="135">
        <f>G91*$D91</f>
        <v>38.25342609799141</v>
      </c>
      <c r="G91" s="135">
        <v>211.2104594859828</v>
      </c>
      <c r="H91" s="136">
        <f>I91*$D91</f>
        <v>0.6041822191516916</v>
      </c>
      <c r="I91" s="137">
        <v>3.3359</v>
      </c>
      <c r="J91" s="137">
        <v>3.3359</v>
      </c>
      <c r="K91" s="138">
        <f t="shared" si="100"/>
        <v>0</v>
      </c>
      <c r="L91" s="133">
        <v>0.0005384164911646315</v>
      </c>
      <c r="M91" s="133">
        <f t="shared" si="65"/>
        <v>0.0008387781714273958</v>
      </c>
      <c r="N91" s="147">
        <f t="shared" si="66"/>
        <v>1192.210329339215</v>
      </c>
      <c r="O91" s="133">
        <f t="shared" si="67"/>
        <v>0.04220158217712941</v>
      </c>
      <c r="P91" s="4">
        <v>0.004444583287399405</v>
      </c>
      <c r="Q91" s="14">
        <f>P91/$P$7</f>
        <v>0.006017424391453263</v>
      </c>
      <c r="R91" s="15">
        <f t="shared" si="68"/>
        <v>166.18405732198835</v>
      </c>
      <c r="S91" s="14">
        <f t="shared" si="69"/>
        <v>0.01483493330820008</v>
      </c>
      <c r="T91" s="15">
        <f t="shared" si="70"/>
        <v>1.3981036170922787</v>
      </c>
      <c r="U91" s="15">
        <f t="shared" si="104"/>
        <v>0.41910837168148884</v>
      </c>
      <c r="V91" s="5">
        <v>0.2263940087951121</v>
      </c>
      <c r="W91" s="15">
        <f t="shared" si="71"/>
        <v>0</v>
      </c>
      <c r="X91" s="15">
        <f t="shared" si="72"/>
        <v>0</v>
      </c>
      <c r="Y91" s="15">
        <f t="shared" si="73"/>
        <v>0.7552277739396145</v>
      </c>
      <c r="Z91" s="15">
        <f t="shared" si="74"/>
        <v>0</v>
      </c>
      <c r="AA91" s="15">
        <f t="shared" si="61"/>
        <v>0</v>
      </c>
      <c r="AB91" s="16">
        <f t="shared" si="75"/>
        <v>0</v>
      </c>
      <c r="AC91">
        <f t="shared" si="76"/>
        <v>0</v>
      </c>
      <c r="AD91">
        <f t="shared" si="77"/>
        <v>0.7552277739396145</v>
      </c>
      <c r="AE91">
        <f t="shared" si="78"/>
        <v>0</v>
      </c>
      <c r="AF91">
        <f t="shared" si="79"/>
        <v>0</v>
      </c>
      <c r="AG91">
        <f t="shared" si="80"/>
        <v>0</v>
      </c>
      <c r="AH91">
        <f t="shared" si="81"/>
        <v>0</v>
      </c>
      <c r="AI91">
        <f t="shared" si="82"/>
        <v>0.7552277739396145</v>
      </c>
      <c r="AJ91" s="15">
        <f t="shared" si="83"/>
        <v>0</v>
      </c>
      <c r="AK91">
        <f t="shared" si="84"/>
        <v>0</v>
      </c>
      <c r="AL91">
        <f t="shared" si="85"/>
        <v>0</v>
      </c>
      <c r="AM91">
        <f t="shared" si="86"/>
        <v>0</v>
      </c>
      <c r="AN91">
        <f t="shared" si="87"/>
        <v>0.7552277739396145</v>
      </c>
      <c r="AO91" s="15">
        <f t="shared" si="88"/>
        <v>0</v>
      </c>
      <c r="AP91">
        <f t="shared" si="89"/>
        <v>0</v>
      </c>
      <c r="AQ91">
        <f t="shared" si="90"/>
        <v>0</v>
      </c>
      <c r="AR91">
        <f t="shared" si="91"/>
        <v>0</v>
      </c>
      <c r="AS91">
        <f t="shared" si="92"/>
        <v>0.7552277739396145</v>
      </c>
      <c r="AT91" s="15">
        <f t="shared" si="93"/>
        <v>0</v>
      </c>
      <c r="AU91">
        <f t="shared" si="94"/>
        <v>0</v>
      </c>
      <c r="AV91">
        <f t="shared" si="95"/>
        <v>0</v>
      </c>
      <c r="AW91">
        <f t="shared" si="96"/>
        <v>0</v>
      </c>
      <c r="AX91">
        <f t="shared" si="97"/>
        <v>0.7552277739396145</v>
      </c>
      <c r="AY91" s="15">
        <f t="shared" si="98"/>
        <v>0</v>
      </c>
      <c r="AZ91">
        <f t="shared" si="99"/>
        <v>0</v>
      </c>
      <c r="BB91">
        <f t="shared" si="62"/>
        <v>0.7552277739396145</v>
      </c>
      <c r="BC91" s="15">
        <f t="shared" si="63"/>
        <v>0</v>
      </c>
      <c r="BD91" s="15"/>
    </row>
    <row r="92" spans="1:56" ht="12.75">
      <c r="A92" s="1" t="s">
        <v>64</v>
      </c>
      <c r="B92" s="3"/>
      <c r="C92" s="4">
        <v>0.21033917230735313</v>
      </c>
      <c r="D92" s="5"/>
      <c r="E92" s="129"/>
      <c r="F92" s="135">
        <f>(F93+F96+F102+F106+F108+F112)</f>
        <v>1764.9225142648795</v>
      </c>
      <c r="G92" s="128"/>
      <c r="H92" s="136">
        <f>(H93+H96+H102+H106+H108+H112)</f>
        <v>79.72144212058683</v>
      </c>
      <c r="I92" s="137"/>
      <c r="J92" s="137"/>
      <c r="K92" s="138">
        <f t="shared" si="100"/>
        <v>0</v>
      </c>
      <c r="L92" s="133"/>
      <c r="M92" s="133"/>
      <c r="N92" s="147"/>
      <c r="O92" s="133"/>
      <c r="P92" s="4"/>
      <c r="Q92" s="14"/>
      <c r="R92" s="15"/>
      <c r="S92" s="14"/>
      <c r="U92" s="15"/>
      <c r="V92" s="5"/>
      <c r="Y92" s="15">
        <f t="shared" si="73"/>
        <v>0</v>
      </c>
      <c r="Z92" s="15">
        <f t="shared" si="74"/>
        <v>0</v>
      </c>
      <c r="AA92" s="15">
        <f t="shared" si="61"/>
        <v>0</v>
      </c>
      <c r="AB92" s="16">
        <f t="shared" si="75"/>
        <v>0</v>
      </c>
      <c r="AC92">
        <f t="shared" si="76"/>
        <v>0</v>
      </c>
      <c r="AD92">
        <f t="shared" si="77"/>
        <v>0</v>
      </c>
      <c r="AE92">
        <f t="shared" si="78"/>
        <v>0</v>
      </c>
      <c r="AF92">
        <f t="shared" si="79"/>
        <v>0</v>
      </c>
      <c r="AG92">
        <f t="shared" si="80"/>
        <v>0</v>
      </c>
      <c r="AH92">
        <f t="shared" si="81"/>
        <v>0</v>
      </c>
      <c r="AI92">
        <f t="shared" si="82"/>
        <v>0</v>
      </c>
      <c r="AJ92" s="15">
        <f t="shared" si="83"/>
        <v>0</v>
      </c>
      <c r="AK92">
        <f t="shared" si="84"/>
        <v>0</v>
      </c>
      <c r="AL92">
        <f t="shared" si="85"/>
        <v>0</v>
      </c>
      <c r="AM92">
        <f t="shared" si="86"/>
        <v>0</v>
      </c>
      <c r="AN92">
        <f t="shared" si="87"/>
        <v>0</v>
      </c>
      <c r="AO92" s="15">
        <f t="shared" si="88"/>
        <v>0</v>
      </c>
      <c r="AP92">
        <f t="shared" si="89"/>
        <v>0</v>
      </c>
      <c r="AQ92">
        <f t="shared" si="90"/>
        <v>0</v>
      </c>
      <c r="AR92">
        <f t="shared" si="91"/>
        <v>0</v>
      </c>
      <c r="AS92">
        <f t="shared" si="92"/>
        <v>0</v>
      </c>
      <c r="AT92" s="15">
        <f t="shared" si="93"/>
        <v>0</v>
      </c>
      <c r="AU92">
        <f t="shared" si="94"/>
        <v>0</v>
      </c>
      <c r="AV92">
        <f t="shared" si="95"/>
        <v>0</v>
      </c>
      <c r="AW92">
        <f t="shared" si="96"/>
        <v>0</v>
      </c>
      <c r="AX92">
        <f t="shared" si="97"/>
        <v>0</v>
      </c>
      <c r="AY92" s="15">
        <f t="shared" si="98"/>
        <v>0</v>
      </c>
      <c r="AZ92">
        <f t="shared" si="99"/>
        <v>0</v>
      </c>
      <c r="BB92">
        <f t="shared" si="62"/>
        <v>0</v>
      </c>
      <c r="BC92" s="15">
        <f t="shared" si="63"/>
        <v>0</v>
      </c>
      <c r="BD92" s="15">
        <f>SUM(BD93+BD96+BD102+BD106+BD108)</f>
        <v>22.893798229718964</v>
      </c>
    </row>
    <row r="93" spans="1:56" ht="12.75">
      <c r="A93" s="1" t="s">
        <v>65</v>
      </c>
      <c r="B93" s="4"/>
      <c r="C93" s="4">
        <v>0.06024271386837174</v>
      </c>
      <c r="D93" s="5"/>
      <c r="E93" s="129"/>
      <c r="F93" s="135">
        <f>SUM(F94:F95)</f>
        <v>518.4940980720362</v>
      </c>
      <c r="G93" s="128"/>
      <c r="H93" s="136">
        <f>SUM(H94:H95)</f>
        <v>49.736765621286125</v>
      </c>
      <c r="I93" s="137"/>
      <c r="J93" s="137"/>
      <c r="K93" s="138">
        <f t="shared" si="100"/>
        <v>0</v>
      </c>
      <c r="L93" s="133"/>
      <c r="M93" s="133"/>
      <c r="N93" s="147"/>
      <c r="O93" s="133"/>
      <c r="P93" s="4"/>
      <c r="Q93" s="14"/>
      <c r="R93" s="15"/>
      <c r="S93" s="14"/>
      <c r="U93" s="15"/>
      <c r="V93" s="5"/>
      <c r="Y93" s="15">
        <f t="shared" si="73"/>
        <v>0</v>
      </c>
      <c r="Z93" s="15">
        <f t="shared" si="74"/>
        <v>0</v>
      </c>
      <c r="AA93" s="15">
        <f t="shared" si="61"/>
        <v>0</v>
      </c>
      <c r="AB93" s="16">
        <f t="shared" si="75"/>
        <v>0</v>
      </c>
      <c r="AC93">
        <f t="shared" si="76"/>
        <v>0</v>
      </c>
      <c r="AD93">
        <f t="shared" si="77"/>
        <v>0</v>
      </c>
      <c r="AE93">
        <f t="shared" si="78"/>
        <v>0</v>
      </c>
      <c r="AF93">
        <f t="shared" si="79"/>
        <v>0</v>
      </c>
      <c r="AG93">
        <f t="shared" si="80"/>
        <v>0</v>
      </c>
      <c r="AH93">
        <f t="shared" si="81"/>
        <v>0</v>
      </c>
      <c r="AI93">
        <f t="shared" si="82"/>
        <v>0</v>
      </c>
      <c r="AJ93" s="15">
        <f t="shared" si="83"/>
        <v>0</v>
      </c>
      <c r="AK93">
        <f t="shared" si="84"/>
        <v>0</v>
      </c>
      <c r="AL93">
        <f t="shared" si="85"/>
        <v>0</v>
      </c>
      <c r="AM93">
        <f t="shared" si="86"/>
        <v>0</v>
      </c>
      <c r="AN93">
        <f t="shared" si="87"/>
        <v>0</v>
      </c>
      <c r="AO93" s="15">
        <f t="shared" si="88"/>
        <v>0</v>
      </c>
      <c r="AP93">
        <f t="shared" si="89"/>
        <v>0</v>
      </c>
      <c r="AQ93">
        <f t="shared" si="90"/>
        <v>0</v>
      </c>
      <c r="AR93">
        <f t="shared" si="91"/>
        <v>0</v>
      </c>
      <c r="AS93">
        <f t="shared" si="92"/>
        <v>0</v>
      </c>
      <c r="AT93" s="15">
        <f t="shared" si="93"/>
        <v>0</v>
      </c>
      <c r="AU93">
        <f t="shared" si="94"/>
        <v>0</v>
      </c>
      <c r="AV93">
        <f t="shared" si="95"/>
        <v>0</v>
      </c>
      <c r="AW93">
        <f t="shared" si="96"/>
        <v>0</v>
      </c>
      <c r="AX93">
        <f t="shared" si="97"/>
        <v>0</v>
      </c>
      <c r="AY93" s="15">
        <f t="shared" si="98"/>
        <v>0</v>
      </c>
      <c r="AZ93">
        <f t="shared" si="99"/>
        <v>0</v>
      </c>
      <c r="BB93">
        <f t="shared" si="62"/>
        <v>0</v>
      </c>
      <c r="BC93" s="15">
        <f t="shared" si="63"/>
        <v>0</v>
      </c>
      <c r="BD93" s="15">
        <f>SUM(BB94:BC95)</f>
        <v>1.5884450042088982</v>
      </c>
    </row>
    <row r="94" spans="1:56" ht="12.75">
      <c r="A94" s="1" t="s">
        <v>265</v>
      </c>
      <c r="B94" s="1" t="s">
        <v>139</v>
      </c>
      <c r="C94" s="4">
        <v>0.009585809723294014</v>
      </c>
      <c r="D94" s="5">
        <v>0.24903595111484328</v>
      </c>
      <c r="E94" s="129">
        <f t="shared" si="64"/>
        <v>0.000740330230505616</v>
      </c>
      <c r="F94" s="135">
        <f>G94*$D94</f>
        <v>82.5026870075802</v>
      </c>
      <c r="G94" s="135">
        <v>331.2882603425157</v>
      </c>
      <c r="H94" s="136">
        <f>I94*$D94</f>
        <v>0.6786976775732824</v>
      </c>
      <c r="I94" s="137">
        <v>2.7253</v>
      </c>
      <c r="J94" s="137">
        <v>2.7253</v>
      </c>
      <c r="K94" s="138">
        <f t="shared" si="100"/>
        <v>0</v>
      </c>
      <c r="L94" s="133">
        <v>0.000740330230505616</v>
      </c>
      <c r="M94" s="133">
        <f t="shared" si="65"/>
        <v>0.0011533317555944775</v>
      </c>
      <c r="N94" s="147">
        <f t="shared" si="66"/>
        <v>867.0532092342818</v>
      </c>
      <c r="O94" s="133">
        <f t="shared" si="67"/>
        <v>0.03069174654922255</v>
      </c>
      <c r="P94" s="4">
        <v>0.009585809723294014</v>
      </c>
      <c r="Q94" s="14">
        <f>P94/$P$7</f>
        <v>0.01297801875021895</v>
      </c>
      <c r="R94" s="15">
        <f aca="true" t="shared" si="105" ref="R94:R107">1/Q94</f>
        <v>77.05336378737542</v>
      </c>
      <c r="S94" s="14">
        <f aca="true" t="shared" si="106" ref="S94:S107">R94/$R$7</f>
        <v>0.006878406577493933</v>
      </c>
      <c r="T94" s="15">
        <f aca="true" t="shared" si="107" ref="T94:T107">S94*$T$7</f>
        <v>0.6482486247855188</v>
      </c>
      <c r="U94" s="15">
        <f t="shared" si="104"/>
        <v>0.23786321681485298</v>
      </c>
      <c r="V94" s="5">
        <v>0.3112949388935541</v>
      </c>
      <c r="W94" s="15">
        <f aca="true" t="shared" si="108" ref="W94:W107">IF(U94&lt;V94,U94*I94,0)</f>
        <v>0.6482486247855188</v>
      </c>
      <c r="X94" s="15">
        <f aca="true" t="shared" si="109" ref="X94:X107">IF(U94&lt;V94,U84:U94,0)</f>
        <v>0.23786321681485298</v>
      </c>
      <c r="Y94" s="15">
        <f t="shared" si="73"/>
        <v>0</v>
      </c>
      <c r="Z94" s="15">
        <f t="shared" si="74"/>
        <v>0.6482486247855188</v>
      </c>
      <c r="AA94" s="15">
        <f t="shared" si="61"/>
        <v>1.9548350609344398</v>
      </c>
      <c r="AB94" s="16">
        <f t="shared" si="75"/>
        <v>0.7172916966698859</v>
      </c>
      <c r="AC94">
        <f t="shared" si="76"/>
        <v>0</v>
      </c>
      <c r="AD94">
        <f t="shared" si="77"/>
        <v>0.8483720969666029</v>
      </c>
      <c r="AE94">
        <f t="shared" si="78"/>
        <v>0</v>
      </c>
      <c r="AF94">
        <f t="shared" si="79"/>
        <v>0</v>
      </c>
      <c r="AG94">
        <f t="shared" si="80"/>
        <v>0</v>
      </c>
      <c r="AH94">
        <f t="shared" si="81"/>
        <v>0</v>
      </c>
      <c r="AI94">
        <f t="shared" si="82"/>
        <v>0.8483720969666029</v>
      </c>
      <c r="AJ94" s="15">
        <f t="shared" si="83"/>
        <v>0</v>
      </c>
      <c r="AK94">
        <f t="shared" si="84"/>
        <v>0</v>
      </c>
      <c r="AL94">
        <f t="shared" si="85"/>
        <v>0</v>
      </c>
      <c r="AM94">
        <f t="shared" si="86"/>
        <v>0</v>
      </c>
      <c r="AN94">
        <f t="shared" si="87"/>
        <v>0.8483720969666029</v>
      </c>
      <c r="AO94" s="15">
        <f t="shared" si="88"/>
        <v>0</v>
      </c>
      <c r="AP94">
        <f t="shared" si="89"/>
        <v>0</v>
      </c>
      <c r="AQ94">
        <f t="shared" si="90"/>
        <v>0</v>
      </c>
      <c r="AR94">
        <f t="shared" si="91"/>
        <v>0</v>
      </c>
      <c r="AS94">
        <f t="shared" si="92"/>
        <v>0.8483720969666029</v>
      </c>
      <c r="AT94" s="15">
        <f t="shared" si="93"/>
        <v>0</v>
      </c>
      <c r="AU94">
        <f t="shared" si="94"/>
        <v>0</v>
      </c>
      <c r="AV94">
        <f t="shared" si="95"/>
        <v>0</v>
      </c>
      <c r="AW94">
        <f t="shared" si="96"/>
        <v>0</v>
      </c>
      <c r="AX94">
        <f t="shared" si="97"/>
        <v>0.8483720969666029</v>
      </c>
      <c r="AY94" s="15">
        <f t="shared" si="98"/>
        <v>0</v>
      </c>
      <c r="AZ94">
        <f t="shared" si="99"/>
        <v>0</v>
      </c>
      <c r="BB94">
        <f t="shared" si="62"/>
        <v>0.8483720969666029</v>
      </c>
      <c r="BC94" s="15">
        <f t="shared" si="63"/>
        <v>0</v>
      </c>
      <c r="BD94" s="15"/>
    </row>
    <row r="95" spans="1:56" ht="12.75">
      <c r="A95" s="1" t="s">
        <v>66</v>
      </c>
      <c r="B95" s="4"/>
      <c r="C95" s="4">
        <v>0.05065690414507772</v>
      </c>
      <c r="D95" s="5">
        <v>2.872050438125708</v>
      </c>
      <c r="E95" s="129">
        <f t="shared" si="64"/>
        <v>0.00853798719969082</v>
      </c>
      <c r="F95" s="135">
        <f>G95*$D95</f>
        <v>435.99141106445603</v>
      </c>
      <c r="G95" s="135">
        <v>151.80492838036048</v>
      </c>
      <c r="H95" s="136">
        <f>I95*$D95</f>
        <v>49.05806794371284</v>
      </c>
      <c r="I95" s="137">
        <v>17.0812</v>
      </c>
      <c r="J95" s="137">
        <v>17.0812</v>
      </c>
      <c r="K95" s="138">
        <f t="shared" si="100"/>
        <v>0</v>
      </c>
      <c r="L95" s="133">
        <v>0.00853798719969082</v>
      </c>
      <c r="M95" s="133">
        <f t="shared" si="65"/>
        <v>0.01330099914944361</v>
      </c>
      <c r="N95" s="147">
        <f t="shared" si="66"/>
        <v>75.18232192668253</v>
      </c>
      <c r="O95" s="133">
        <f t="shared" si="67"/>
        <v>0.002661286233625261</v>
      </c>
      <c r="P95" s="4">
        <v>0.05065690414507772</v>
      </c>
      <c r="Q95" s="14">
        <f>P95/$P$7</f>
        <v>0.0685832778659567</v>
      </c>
      <c r="R95" s="15">
        <f t="shared" si="105"/>
        <v>14.58081373646883</v>
      </c>
      <c r="S95" s="14">
        <f t="shared" si="106"/>
        <v>0.001301601386110716</v>
      </c>
      <c r="T95" s="15">
        <f t="shared" si="107"/>
        <v>0.12266813528092015</v>
      </c>
      <c r="U95" s="15">
        <f t="shared" si="104"/>
        <v>0.007181470580575144</v>
      </c>
      <c r="V95" s="5">
        <v>3.590063047657135</v>
      </c>
      <c r="W95" s="15">
        <f t="shared" si="108"/>
        <v>0.12266813528092015</v>
      </c>
      <c r="X95" s="15">
        <f t="shared" si="109"/>
        <v>0.007181470580575144</v>
      </c>
      <c r="Y95" s="15">
        <f t="shared" si="73"/>
        <v>0</v>
      </c>
      <c r="Z95" s="15">
        <f t="shared" si="74"/>
        <v>0.12266813528092015</v>
      </c>
      <c r="AA95" s="15">
        <f t="shared" si="61"/>
        <v>0.3699135833661524</v>
      </c>
      <c r="AB95" s="16">
        <f t="shared" si="75"/>
        <v>0.02165618243250781</v>
      </c>
      <c r="AC95">
        <f t="shared" si="76"/>
        <v>0.02165618243250781</v>
      </c>
      <c r="AD95">
        <f t="shared" si="77"/>
        <v>0</v>
      </c>
      <c r="AE95">
        <f t="shared" si="78"/>
        <v>0.3699135833661524</v>
      </c>
      <c r="AF95">
        <f t="shared" si="79"/>
        <v>0.6508329781970877</v>
      </c>
      <c r="AG95">
        <f t="shared" si="80"/>
        <v>0.03810229832781583</v>
      </c>
      <c r="AH95">
        <f t="shared" si="81"/>
        <v>0.03810229832781583</v>
      </c>
      <c r="AI95">
        <f t="shared" si="82"/>
        <v>0</v>
      </c>
      <c r="AJ95" s="15">
        <f t="shared" si="83"/>
        <v>0.6508329781970877</v>
      </c>
      <c r="AK95">
        <f t="shared" si="84"/>
        <v>0.7355511776857296</v>
      </c>
      <c r="AL95">
        <f t="shared" si="85"/>
        <v>0.04306203180606337</v>
      </c>
      <c r="AM95">
        <f t="shared" si="86"/>
        <v>0.04306203180606337</v>
      </c>
      <c r="AN95">
        <f t="shared" si="87"/>
        <v>0</v>
      </c>
      <c r="AO95" s="15">
        <f t="shared" si="88"/>
        <v>0.7355511776857296</v>
      </c>
      <c r="AP95">
        <f t="shared" si="89"/>
        <v>0.7400729072422955</v>
      </c>
      <c r="AQ95">
        <f t="shared" si="90"/>
        <v>0.04332675147192794</v>
      </c>
      <c r="AR95">
        <f t="shared" si="91"/>
        <v>0.04332675147192794</v>
      </c>
      <c r="AS95">
        <f t="shared" si="92"/>
        <v>0</v>
      </c>
      <c r="AT95" s="15">
        <f t="shared" si="93"/>
        <v>0.7400729072422955</v>
      </c>
      <c r="AU95">
        <f t="shared" si="94"/>
        <v>0.7400729072422952</v>
      </c>
      <c r="AV95">
        <f t="shared" si="95"/>
        <v>0.043326751471927924</v>
      </c>
      <c r="AW95">
        <f t="shared" si="96"/>
        <v>0.043326751471927924</v>
      </c>
      <c r="AX95">
        <f t="shared" si="97"/>
        <v>0</v>
      </c>
      <c r="AY95" s="15">
        <f t="shared" si="98"/>
        <v>0.7400729072422952</v>
      </c>
      <c r="AZ95">
        <f t="shared" si="99"/>
        <v>0.7400729072422952</v>
      </c>
      <c r="BB95">
        <f t="shared" si="62"/>
        <v>0</v>
      </c>
      <c r="BC95" s="15">
        <f t="shared" si="63"/>
        <v>0.7400729072422952</v>
      </c>
      <c r="BD95" s="15"/>
    </row>
    <row r="96" spans="1:56" ht="12.75">
      <c r="A96" s="1" t="s">
        <v>67</v>
      </c>
      <c r="B96" s="4"/>
      <c r="C96" s="4">
        <v>0.0423967068129203</v>
      </c>
      <c r="D96" s="5"/>
      <c r="E96" s="129"/>
      <c r="F96" s="135">
        <f>SUM(F97:F101)</f>
        <v>364.89794115551547</v>
      </c>
      <c r="G96" s="128"/>
      <c r="H96" s="136">
        <f>SUM(H97:H101)</f>
        <v>7.543609679226827</v>
      </c>
      <c r="I96" s="137"/>
      <c r="J96" s="137"/>
      <c r="K96" s="138">
        <f t="shared" si="100"/>
        <v>0</v>
      </c>
      <c r="L96" s="133"/>
      <c r="M96" s="133"/>
      <c r="N96" s="147"/>
      <c r="O96" s="133"/>
      <c r="P96" s="4"/>
      <c r="Q96" s="14"/>
      <c r="R96" s="15"/>
      <c r="S96" s="14"/>
      <c r="U96" s="15"/>
      <c r="V96" s="5"/>
      <c r="Y96" s="15">
        <f t="shared" si="73"/>
        <v>0</v>
      </c>
      <c r="Z96" s="15">
        <f t="shared" si="74"/>
        <v>0</v>
      </c>
      <c r="AA96" s="15">
        <f t="shared" si="61"/>
        <v>0</v>
      </c>
      <c r="AB96" s="16">
        <f t="shared" si="75"/>
        <v>0</v>
      </c>
      <c r="AC96">
        <f t="shared" si="76"/>
        <v>0</v>
      </c>
      <c r="AD96">
        <f t="shared" si="77"/>
        <v>0</v>
      </c>
      <c r="AE96">
        <f t="shared" si="78"/>
        <v>0</v>
      </c>
      <c r="AF96">
        <f t="shared" si="79"/>
        <v>0</v>
      </c>
      <c r="AG96">
        <f t="shared" si="80"/>
        <v>0</v>
      </c>
      <c r="AH96">
        <f t="shared" si="81"/>
        <v>0</v>
      </c>
      <c r="AI96">
        <f t="shared" si="82"/>
        <v>0</v>
      </c>
      <c r="AJ96" s="15">
        <f t="shared" si="83"/>
        <v>0</v>
      </c>
      <c r="AK96">
        <f t="shared" si="84"/>
        <v>0</v>
      </c>
      <c r="AL96">
        <f t="shared" si="85"/>
        <v>0</v>
      </c>
      <c r="AM96">
        <f t="shared" si="86"/>
        <v>0</v>
      </c>
      <c r="AN96">
        <f t="shared" si="87"/>
        <v>0</v>
      </c>
      <c r="AO96" s="15">
        <f t="shared" si="88"/>
        <v>0</v>
      </c>
      <c r="AP96">
        <f t="shared" si="89"/>
        <v>0</v>
      </c>
      <c r="AQ96">
        <f t="shared" si="90"/>
        <v>0</v>
      </c>
      <c r="AR96">
        <f t="shared" si="91"/>
        <v>0</v>
      </c>
      <c r="AS96">
        <f t="shared" si="92"/>
        <v>0</v>
      </c>
      <c r="AT96" s="15">
        <f t="shared" si="93"/>
        <v>0</v>
      </c>
      <c r="AU96">
        <f t="shared" si="94"/>
        <v>0</v>
      </c>
      <c r="AV96">
        <f t="shared" si="95"/>
        <v>0</v>
      </c>
      <c r="AW96">
        <f t="shared" si="96"/>
        <v>0</v>
      </c>
      <c r="AX96">
        <f t="shared" si="97"/>
        <v>0</v>
      </c>
      <c r="AY96" s="15">
        <f t="shared" si="98"/>
        <v>0</v>
      </c>
      <c r="AZ96">
        <f t="shared" si="99"/>
        <v>0</v>
      </c>
      <c r="BB96">
        <f t="shared" si="62"/>
        <v>0</v>
      </c>
      <c r="BC96" s="15">
        <f t="shared" si="63"/>
        <v>0</v>
      </c>
      <c r="BD96" s="15">
        <f>SUM(BB97:BC101)</f>
        <v>9.429512099033534</v>
      </c>
    </row>
    <row r="97" spans="1:56" ht="12.75">
      <c r="A97" s="1" t="s">
        <v>68</v>
      </c>
      <c r="B97" s="1" t="s">
        <v>140</v>
      </c>
      <c r="C97" s="4">
        <v>0.007972583232278691</v>
      </c>
      <c r="D97" s="5">
        <v>1.3999689412296972</v>
      </c>
      <c r="E97" s="129">
        <f t="shared" si="64"/>
        <v>0.0041618060537907215</v>
      </c>
      <c r="F97" s="135">
        <f>G97*$D97</f>
        <v>68.6180466795811</v>
      </c>
      <c r="G97" s="135">
        <v>49.01397785247203</v>
      </c>
      <c r="H97" s="136">
        <f>I97*$D97</f>
        <v>0.8511811162676559</v>
      </c>
      <c r="I97" s="137">
        <v>0.608</v>
      </c>
      <c r="J97" s="137">
        <v>0.608</v>
      </c>
      <c r="K97" s="138">
        <f t="shared" si="100"/>
        <v>0</v>
      </c>
      <c r="L97" s="133">
        <v>0.0041618060537907215</v>
      </c>
      <c r="M97" s="133">
        <f t="shared" si="65"/>
        <v>0.006483516253529196</v>
      </c>
      <c r="N97" s="147">
        <f t="shared" si="66"/>
        <v>154.23729360679343</v>
      </c>
      <c r="O97" s="133">
        <f t="shared" si="67"/>
        <v>0.00545965561675077</v>
      </c>
      <c r="P97" s="4">
        <v>0.007972583232278691</v>
      </c>
      <c r="Q97" s="14">
        <f>P97/$P$7</f>
        <v>0.010793906583056897</v>
      </c>
      <c r="R97" s="15">
        <f t="shared" si="105"/>
        <v>92.64486331294468</v>
      </c>
      <c r="S97" s="14">
        <f t="shared" si="106"/>
        <v>0.008270229953117157</v>
      </c>
      <c r="T97" s="15">
        <f t="shared" si="107"/>
        <v>0.7794196422336931</v>
      </c>
      <c r="U97" s="15">
        <f t="shared" si="104"/>
        <v>1.2819402010422585</v>
      </c>
      <c r="V97" s="5">
        <v>1.7499611765371215</v>
      </c>
      <c r="W97" s="15">
        <f t="shared" si="108"/>
        <v>0.7794196422336931</v>
      </c>
      <c r="X97" s="15">
        <f t="shared" si="109"/>
        <v>1.2819402010422585</v>
      </c>
      <c r="Y97" s="15">
        <f t="shared" si="73"/>
        <v>0</v>
      </c>
      <c r="Z97" s="15">
        <f t="shared" si="74"/>
        <v>0.7794196422336931</v>
      </c>
      <c r="AA97" s="15">
        <f t="shared" si="61"/>
        <v>2.3503896276270777</v>
      </c>
      <c r="AB97" s="16">
        <f t="shared" si="75"/>
        <v>3.8657724138603253</v>
      </c>
      <c r="AC97">
        <f t="shared" si="76"/>
        <v>0</v>
      </c>
      <c r="AD97">
        <f t="shared" si="77"/>
        <v>1.0639763953345698</v>
      </c>
      <c r="AE97">
        <f t="shared" si="78"/>
        <v>0</v>
      </c>
      <c r="AF97">
        <f t="shared" si="79"/>
        <v>0</v>
      </c>
      <c r="AG97">
        <f t="shared" si="80"/>
        <v>0</v>
      </c>
      <c r="AH97">
        <f t="shared" si="81"/>
        <v>0</v>
      </c>
      <c r="AI97">
        <f t="shared" si="82"/>
        <v>1.0639763953345698</v>
      </c>
      <c r="AJ97" s="15">
        <f t="shared" si="83"/>
        <v>0</v>
      </c>
      <c r="AK97">
        <f t="shared" si="84"/>
        <v>0</v>
      </c>
      <c r="AL97">
        <f t="shared" si="85"/>
        <v>0</v>
      </c>
      <c r="AM97">
        <f t="shared" si="86"/>
        <v>0</v>
      </c>
      <c r="AN97">
        <f t="shared" si="87"/>
        <v>1.0639763953345698</v>
      </c>
      <c r="AO97" s="15">
        <f t="shared" si="88"/>
        <v>0</v>
      </c>
      <c r="AP97">
        <f t="shared" si="89"/>
        <v>0</v>
      </c>
      <c r="AQ97">
        <f t="shared" si="90"/>
        <v>0</v>
      </c>
      <c r="AR97">
        <f t="shared" si="91"/>
        <v>0</v>
      </c>
      <c r="AS97">
        <f t="shared" si="92"/>
        <v>1.0639763953345698</v>
      </c>
      <c r="AT97" s="15">
        <f t="shared" si="93"/>
        <v>0</v>
      </c>
      <c r="AU97">
        <f t="shared" si="94"/>
        <v>0</v>
      </c>
      <c r="AV97">
        <f t="shared" si="95"/>
        <v>0</v>
      </c>
      <c r="AW97">
        <f t="shared" si="96"/>
        <v>0</v>
      </c>
      <c r="AX97">
        <f t="shared" si="97"/>
        <v>1.0639763953345698</v>
      </c>
      <c r="AY97" s="15">
        <f t="shared" si="98"/>
        <v>0</v>
      </c>
      <c r="AZ97">
        <f t="shared" si="99"/>
        <v>0</v>
      </c>
      <c r="BB97">
        <f t="shared" si="62"/>
        <v>1.0639763953345698</v>
      </c>
      <c r="BC97" s="15">
        <f t="shared" si="63"/>
        <v>0</v>
      </c>
      <c r="BD97" s="15"/>
    </row>
    <row r="98" spans="1:56" ht="12.75">
      <c r="A98" s="1" t="s">
        <v>69</v>
      </c>
      <c r="B98" s="1" t="s">
        <v>141</v>
      </c>
      <c r="C98" s="4">
        <v>0.008687140061735201</v>
      </c>
      <c r="D98" s="5">
        <v>0.9563488580520678</v>
      </c>
      <c r="E98" s="129">
        <f t="shared" si="64"/>
        <v>0.00284301911975339</v>
      </c>
      <c r="F98" s="135">
        <f>G98*$D98</f>
        <v>74.76806010061956</v>
      </c>
      <c r="G98" s="135">
        <v>78.18073861970238</v>
      </c>
      <c r="H98" s="136">
        <f>I98*$D98</f>
        <v>1.2054777355746313</v>
      </c>
      <c r="I98" s="137">
        <v>1.2605</v>
      </c>
      <c r="J98" s="137">
        <v>1.2605</v>
      </c>
      <c r="K98" s="138">
        <f t="shared" si="100"/>
        <v>0</v>
      </c>
      <c r="L98" s="133">
        <v>0.00284301911975339</v>
      </c>
      <c r="M98" s="133">
        <f t="shared" si="65"/>
        <v>0.00442902923244733</v>
      </c>
      <c r="N98" s="147">
        <f t="shared" si="66"/>
        <v>225.78311126825287</v>
      </c>
      <c r="O98" s="133">
        <f t="shared" si="67"/>
        <v>0.00799221772359267</v>
      </c>
      <c r="P98" s="4">
        <v>0.008687140061735201</v>
      </c>
      <c r="Q98" s="14">
        <f>P98/$P$7</f>
        <v>0.011761329492385926</v>
      </c>
      <c r="R98" s="15">
        <f t="shared" si="105"/>
        <v>85.02440142055217</v>
      </c>
      <c r="S98" s="14">
        <f t="shared" si="106"/>
        <v>0.007589965878613993</v>
      </c>
      <c r="T98" s="15">
        <f t="shared" si="107"/>
        <v>0.7153088273495377</v>
      </c>
      <c r="U98" s="15">
        <f t="shared" si="104"/>
        <v>0.5674802279647265</v>
      </c>
      <c r="V98" s="5">
        <v>1.1954360725650848</v>
      </c>
      <c r="W98" s="15">
        <f t="shared" si="108"/>
        <v>0.7153088273495377</v>
      </c>
      <c r="X98" s="15">
        <f t="shared" si="109"/>
        <v>0.5674802279647265</v>
      </c>
      <c r="Y98" s="15">
        <f t="shared" si="73"/>
        <v>0</v>
      </c>
      <c r="Z98" s="15">
        <f t="shared" si="74"/>
        <v>0.7153088273495377</v>
      </c>
      <c r="AA98" s="15">
        <f t="shared" si="61"/>
        <v>2.1570593775828293</v>
      </c>
      <c r="AB98" s="16">
        <f t="shared" si="75"/>
        <v>1.7112728104584127</v>
      </c>
      <c r="AC98">
        <f t="shared" si="76"/>
        <v>0</v>
      </c>
      <c r="AD98">
        <f t="shared" si="77"/>
        <v>1.5068471694682892</v>
      </c>
      <c r="AE98">
        <f t="shared" si="78"/>
        <v>0</v>
      </c>
      <c r="AF98">
        <f t="shared" si="79"/>
        <v>0</v>
      </c>
      <c r="AG98">
        <f t="shared" si="80"/>
        <v>0</v>
      </c>
      <c r="AH98">
        <f t="shared" si="81"/>
        <v>0</v>
      </c>
      <c r="AI98">
        <f t="shared" si="82"/>
        <v>1.5068471694682892</v>
      </c>
      <c r="AJ98" s="15">
        <f t="shared" si="83"/>
        <v>0</v>
      </c>
      <c r="AK98">
        <f t="shared" si="84"/>
        <v>0</v>
      </c>
      <c r="AL98">
        <f t="shared" si="85"/>
        <v>0</v>
      </c>
      <c r="AM98">
        <f t="shared" si="86"/>
        <v>0</v>
      </c>
      <c r="AN98">
        <f t="shared" si="87"/>
        <v>1.5068471694682892</v>
      </c>
      <c r="AO98" s="15">
        <f t="shared" si="88"/>
        <v>0</v>
      </c>
      <c r="AP98">
        <f t="shared" si="89"/>
        <v>0</v>
      </c>
      <c r="AQ98">
        <f t="shared" si="90"/>
        <v>0</v>
      </c>
      <c r="AR98">
        <f t="shared" si="91"/>
        <v>0</v>
      </c>
      <c r="AS98">
        <f t="shared" si="92"/>
        <v>1.5068471694682892</v>
      </c>
      <c r="AT98" s="15">
        <f t="shared" si="93"/>
        <v>0</v>
      </c>
      <c r="AU98">
        <f t="shared" si="94"/>
        <v>0</v>
      </c>
      <c r="AV98">
        <f t="shared" si="95"/>
        <v>0</v>
      </c>
      <c r="AW98">
        <f t="shared" si="96"/>
        <v>0</v>
      </c>
      <c r="AX98">
        <f t="shared" si="97"/>
        <v>1.5068471694682892</v>
      </c>
      <c r="AY98" s="15">
        <f t="shared" si="98"/>
        <v>0</v>
      </c>
      <c r="AZ98">
        <f t="shared" si="99"/>
        <v>0</v>
      </c>
      <c r="BB98">
        <f t="shared" si="62"/>
        <v>1.5068471694682892</v>
      </c>
      <c r="BC98" s="15">
        <f t="shared" si="63"/>
        <v>0</v>
      </c>
      <c r="BD98" s="15"/>
    </row>
    <row r="99" spans="1:56" ht="12.75">
      <c r="A99" s="1" t="s">
        <v>243</v>
      </c>
      <c r="B99" s="1" t="s">
        <v>142</v>
      </c>
      <c r="C99" s="4">
        <v>0.006248889042001984</v>
      </c>
      <c r="D99" s="5">
        <v>4.131971162269747</v>
      </c>
      <c r="E99" s="129">
        <f t="shared" si="64"/>
        <v>0.012283460075991385</v>
      </c>
      <c r="F99" s="135">
        <f>G99*$D99</f>
        <v>53.78263826002866</v>
      </c>
      <c r="G99" s="135">
        <v>13.016218203828204</v>
      </c>
      <c r="H99" s="136">
        <f>I99*$D99</f>
        <v>2.0209470954661333</v>
      </c>
      <c r="I99" s="137">
        <v>0.4891</v>
      </c>
      <c r="J99" s="137">
        <v>0.4891</v>
      </c>
      <c r="K99" s="138">
        <f t="shared" si="100"/>
        <v>0</v>
      </c>
      <c r="L99" s="133">
        <v>0.012283460075991385</v>
      </c>
      <c r="M99" s="133">
        <f t="shared" si="65"/>
        <v>0.019135926091444877</v>
      </c>
      <c r="N99" s="147">
        <f t="shared" si="66"/>
        <v>52.257726917490096</v>
      </c>
      <c r="O99" s="133">
        <f t="shared" si="67"/>
        <v>0.0018498067854526732</v>
      </c>
      <c r="P99" s="4">
        <v>0.006248889042001984</v>
      </c>
      <c r="Q99" s="14">
        <f>P99/$P$7</f>
        <v>0.00846023460679244</v>
      </c>
      <c r="R99" s="15">
        <f t="shared" si="105"/>
        <v>118.20003185220578</v>
      </c>
      <c r="S99" s="14">
        <f t="shared" si="106"/>
        <v>0.010551491026345209</v>
      </c>
      <c r="T99" s="15">
        <f t="shared" si="107"/>
        <v>0.9944148357913867</v>
      </c>
      <c r="U99" s="15">
        <f t="shared" si="104"/>
        <v>2.033152393766892</v>
      </c>
      <c r="V99" s="5">
        <v>5.164963952837184</v>
      </c>
      <c r="W99" s="15">
        <f t="shared" si="108"/>
        <v>0.9944148357913868</v>
      </c>
      <c r="X99" s="15">
        <f t="shared" si="109"/>
        <v>2.033152393766892</v>
      </c>
      <c r="Y99" s="15">
        <f t="shared" si="73"/>
        <v>0</v>
      </c>
      <c r="Z99" s="15">
        <f t="shared" si="74"/>
        <v>0.9944148357913868</v>
      </c>
      <c r="AA99" s="15">
        <f t="shared" si="61"/>
        <v>2.998721342080033</v>
      </c>
      <c r="AB99" s="16">
        <f t="shared" si="75"/>
        <v>6.131100678961425</v>
      </c>
      <c r="AC99">
        <f t="shared" si="76"/>
        <v>0</v>
      </c>
      <c r="AD99">
        <f t="shared" si="77"/>
        <v>2.5261838693326664</v>
      </c>
      <c r="AE99">
        <f t="shared" si="78"/>
        <v>0</v>
      </c>
      <c r="AF99">
        <f t="shared" si="79"/>
        <v>0</v>
      </c>
      <c r="AG99">
        <f t="shared" si="80"/>
        <v>0</v>
      </c>
      <c r="AH99">
        <f t="shared" si="81"/>
        <v>0</v>
      </c>
      <c r="AI99">
        <f t="shared" si="82"/>
        <v>2.5261838693326664</v>
      </c>
      <c r="AJ99" s="15">
        <f t="shared" si="83"/>
        <v>0</v>
      </c>
      <c r="AK99">
        <f t="shared" si="84"/>
        <v>0</v>
      </c>
      <c r="AL99">
        <f t="shared" si="85"/>
        <v>0</v>
      </c>
      <c r="AM99">
        <f t="shared" si="86"/>
        <v>0</v>
      </c>
      <c r="AN99">
        <f t="shared" si="87"/>
        <v>2.5261838693326664</v>
      </c>
      <c r="AO99" s="15">
        <f t="shared" si="88"/>
        <v>0</v>
      </c>
      <c r="AP99">
        <f t="shared" si="89"/>
        <v>0</v>
      </c>
      <c r="AQ99">
        <f t="shared" si="90"/>
        <v>0</v>
      </c>
      <c r="AR99">
        <f t="shared" si="91"/>
        <v>0</v>
      </c>
      <c r="AS99">
        <f t="shared" si="92"/>
        <v>2.5261838693326664</v>
      </c>
      <c r="AT99" s="15">
        <f t="shared" si="93"/>
        <v>0</v>
      </c>
      <c r="AU99">
        <f t="shared" si="94"/>
        <v>0</v>
      </c>
      <c r="AV99">
        <f t="shared" si="95"/>
        <v>0</v>
      </c>
      <c r="AW99">
        <f t="shared" si="96"/>
        <v>0</v>
      </c>
      <c r="AX99">
        <f t="shared" si="97"/>
        <v>2.5261838693326664</v>
      </c>
      <c r="AY99" s="15">
        <f t="shared" si="98"/>
        <v>0</v>
      </c>
      <c r="AZ99">
        <f t="shared" si="99"/>
        <v>0</v>
      </c>
      <c r="BB99">
        <f t="shared" si="62"/>
        <v>2.5261838693326664</v>
      </c>
      <c r="BC99" s="15">
        <f t="shared" si="63"/>
        <v>0</v>
      </c>
      <c r="BD99" s="15"/>
    </row>
    <row r="100" spans="1:56" ht="12.75">
      <c r="A100" s="1" t="s">
        <v>70</v>
      </c>
      <c r="B100" s="1" t="s">
        <v>143</v>
      </c>
      <c r="C100" s="4">
        <v>0.007482942619336346</v>
      </c>
      <c r="D100" s="5">
        <v>2.159061567881073</v>
      </c>
      <c r="E100" s="129">
        <f t="shared" si="64"/>
        <v>0.006418424894356312</v>
      </c>
      <c r="F100" s="135">
        <f>G100*$D100</f>
        <v>64.40383135485835</v>
      </c>
      <c r="G100" s="135">
        <v>29.829548315319688</v>
      </c>
      <c r="H100" s="136">
        <f>I100*$D100</f>
        <v>2.2577306815332383</v>
      </c>
      <c r="I100" s="137">
        <v>1.0457</v>
      </c>
      <c r="J100" s="137">
        <v>1.0457</v>
      </c>
      <c r="K100" s="138">
        <f t="shared" si="100"/>
        <v>0</v>
      </c>
      <c r="L100" s="133">
        <v>0.006418424894356312</v>
      </c>
      <c r="M100" s="133">
        <f t="shared" si="65"/>
        <v>0.009999015232031795</v>
      </c>
      <c r="N100" s="147">
        <f t="shared" si="66"/>
        <v>100.00984864954552</v>
      </c>
      <c r="O100" s="133">
        <f t="shared" si="67"/>
        <v>0.0035401252131788963</v>
      </c>
      <c r="P100" s="4">
        <v>0.007482942619336346</v>
      </c>
      <c r="Q100" s="14">
        <f>P100/$P$7</f>
        <v>0.01013099283460302</v>
      </c>
      <c r="R100" s="15">
        <f t="shared" si="105"/>
        <v>98.7070089107594</v>
      </c>
      <c r="S100" s="14">
        <f t="shared" si="106"/>
        <v>0.00881138610911312</v>
      </c>
      <c r="T100" s="15">
        <f t="shared" si="107"/>
        <v>0.8304203689232765</v>
      </c>
      <c r="U100" s="15">
        <f t="shared" si="104"/>
        <v>0.7941286878868475</v>
      </c>
      <c r="V100" s="5">
        <v>2.6988269598513415</v>
      </c>
      <c r="W100" s="15">
        <f t="shared" si="108"/>
        <v>0.8304203689232765</v>
      </c>
      <c r="X100" s="15">
        <f t="shared" si="109"/>
        <v>0.7941286878868475</v>
      </c>
      <c r="Y100" s="15">
        <f t="shared" si="73"/>
        <v>0</v>
      </c>
      <c r="Z100" s="15">
        <f t="shared" si="74"/>
        <v>0.8304203689232765</v>
      </c>
      <c r="AA100" s="15">
        <f t="shared" si="61"/>
        <v>2.5041855708100176</v>
      </c>
      <c r="AB100" s="16">
        <f t="shared" si="75"/>
        <v>2.394745692655654</v>
      </c>
      <c r="AC100">
        <f t="shared" si="76"/>
        <v>2.394745692655654</v>
      </c>
      <c r="AD100">
        <f t="shared" si="77"/>
        <v>0</v>
      </c>
      <c r="AE100">
        <f t="shared" si="78"/>
        <v>2.5041855708100176</v>
      </c>
      <c r="AF100">
        <f t="shared" si="79"/>
        <v>4.405911613673355</v>
      </c>
      <c r="AG100">
        <f t="shared" si="80"/>
        <v>4.213361015275275</v>
      </c>
      <c r="AH100">
        <f t="shared" si="81"/>
        <v>0</v>
      </c>
      <c r="AI100">
        <f t="shared" si="82"/>
        <v>2.822163351916548</v>
      </c>
      <c r="AJ100" s="15">
        <f t="shared" si="83"/>
        <v>0</v>
      </c>
      <c r="AK100">
        <f t="shared" si="84"/>
        <v>0</v>
      </c>
      <c r="AL100">
        <f t="shared" si="85"/>
        <v>0</v>
      </c>
      <c r="AM100">
        <f t="shared" si="86"/>
        <v>0</v>
      </c>
      <c r="AN100">
        <f t="shared" si="87"/>
        <v>2.822163351916548</v>
      </c>
      <c r="AO100" s="15">
        <f t="shared" si="88"/>
        <v>0</v>
      </c>
      <c r="AP100">
        <f t="shared" si="89"/>
        <v>0</v>
      </c>
      <c r="AQ100">
        <f t="shared" si="90"/>
        <v>0</v>
      </c>
      <c r="AR100">
        <f t="shared" si="91"/>
        <v>0</v>
      </c>
      <c r="AS100">
        <f t="shared" si="92"/>
        <v>2.822163351916548</v>
      </c>
      <c r="AT100" s="15">
        <f t="shared" si="93"/>
        <v>0</v>
      </c>
      <c r="AU100">
        <f t="shared" si="94"/>
        <v>0</v>
      </c>
      <c r="AV100">
        <f t="shared" si="95"/>
        <v>0</v>
      </c>
      <c r="AW100">
        <f t="shared" si="96"/>
        <v>0</v>
      </c>
      <c r="AX100">
        <f t="shared" si="97"/>
        <v>2.822163351916548</v>
      </c>
      <c r="AY100" s="15">
        <f t="shared" si="98"/>
        <v>0</v>
      </c>
      <c r="AZ100">
        <f t="shared" si="99"/>
        <v>0</v>
      </c>
      <c r="BB100">
        <f t="shared" si="62"/>
        <v>2.822163351916548</v>
      </c>
      <c r="BC100" s="15">
        <f t="shared" si="63"/>
        <v>0</v>
      </c>
      <c r="BD100" s="15"/>
    </row>
    <row r="101" spans="1:56" ht="12.75">
      <c r="A101" s="1" t="s">
        <v>144</v>
      </c>
      <c r="B101" s="1" t="s">
        <v>145</v>
      </c>
      <c r="C101" s="4">
        <v>0.012005151857568076</v>
      </c>
      <c r="D101" s="5">
        <v>0.9284409485055851</v>
      </c>
      <c r="E101" s="129">
        <f t="shared" si="64"/>
        <v>0.0027600549171353126</v>
      </c>
      <c r="F101" s="135">
        <f>G101*$D101</f>
        <v>103.32536476042776</v>
      </c>
      <c r="G101" s="135">
        <v>111.28910775288387</v>
      </c>
      <c r="H101" s="136">
        <f>I101*$D101</f>
        <v>1.2082730503851684</v>
      </c>
      <c r="I101" s="137">
        <v>1.3014</v>
      </c>
      <c r="J101" s="137">
        <v>1.3014</v>
      </c>
      <c r="K101" s="138">
        <f t="shared" si="100"/>
        <v>0</v>
      </c>
      <c r="L101" s="133">
        <v>0.0027600549171353126</v>
      </c>
      <c r="M101" s="133">
        <f t="shared" si="65"/>
        <v>0.004299782518596872</v>
      </c>
      <c r="N101" s="147">
        <f t="shared" si="66"/>
        <v>232.56990223922423</v>
      </c>
      <c r="O101" s="133">
        <f t="shared" si="67"/>
        <v>0.008232454961798107</v>
      </c>
      <c r="P101" s="4">
        <v>0.012005151857568076</v>
      </c>
      <c r="Q101" s="14">
        <f>P101/$P$7</f>
        <v>0.016253513308128242</v>
      </c>
      <c r="R101" s="15">
        <f t="shared" si="105"/>
        <v>61.52515957887755</v>
      </c>
      <c r="S101" s="14">
        <f t="shared" si="106"/>
        <v>0.0054922334539021424</v>
      </c>
      <c r="T101" s="15">
        <f t="shared" si="107"/>
        <v>0.5176101097516468</v>
      </c>
      <c r="U101" s="15">
        <f t="shared" si="104"/>
        <v>0.39773329472233504</v>
      </c>
      <c r="V101" s="5">
        <v>1.1605511856319815</v>
      </c>
      <c r="W101" s="15">
        <f t="shared" si="108"/>
        <v>0.5176101097516468</v>
      </c>
      <c r="X101" s="15">
        <f t="shared" si="109"/>
        <v>0.39773329472233504</v>
      </c>
      <c r="Y101" s="15">
        <f t="shared" si="73"/>
        <v>0</v>
      </c>
      <c r="Z101" s="15">
        <f t="shared" si="74"/>
        <v>0.5176101097516468</v>
      </c>
      <c r="AA101" s="15">
        <f t="shared" si="61"/>
        <v>1.5608862892249455</v>
      </c>
      <c r="AB101" s="16">
        <f t="shared" si="75"/>
        <v>1.1993901100545148</v>
      </c>
      <c r="AC101">
        <f t="shared" si="76"/>
        <v>0</v>
      </c>
      <c r="AD101">
        <f t="shared" si="77"/>
        <v>1.5103413129814605</v>
      </c>
      <c r="AE101">
        <f t="shared" si="78"/>
        <v>0</v>
      </c>
      <c r="AF101">
        <f t="shared" si="79"/>
        <v>0</v>
      </c>
      <c r="AG101">
        <f t="shared" si="80"/>
        <v>0</v>
      </c>
      <c r="AH101">
        <f t="shared" si="81"/>
        <v>0</v>
      </c>
      <c r="AI101">
        <f t="shared" si="82"/>
        <v>1.5103413129814605</v>
      </c>
      <c r="AJ101" s="15">
        <f t="shared" si="83"/>
        <v>0</v>
      </c>
      <c r="AK101">
        <f t="shared" si="84"/>
        <v>0</v>
      </c>
      <c r="AL101">
        <f t="shared" si="85"/>
        <v>0</v>
      </c>
      <c r="AM101">
        <f t="shared" si="86"/>
        <v>0</v>
      </c>
      <c r="AN101">
        <f t="shared" si="87"/>
        <v>1.5103413129814605</v>
      </c>
      <c r="AO101" s="15">
        <f t="shared" si="88"/>
        <v>0</v>
      </c>
      <c r="AP101">
        <f t="shared" si="89"/>
        <v>0</v>
      </c>
      <c r="AQ101">
        <f t="shared" si="90"/>
        <v>0</v>
      </c>
      <c r="AR101">
        <f t="shared" si="91"/>
        <v>0</v>
      </c>
      <c r="AS101">
        <f t="shared" si="92"/>
        <v>1.5103413129814605</v>
      </c>
      <c r="AT101" s="15">
        <f t="shared" si="93"/>
        <v>0</v>
      </c>
      <c r="AU101">
        <f t="shared" si="94"/>
        <v>0</v>
      </c>
      <c r="AV101">
        <f t="shared" si="95"/>
        <v>0</v>
      </c>
      <c r="AW101">
        <f t="shared" si="96"/>
        <v>0</v>
      </c>
      <c r="AX101">
        <f t="shared" si="97"/>
        <v>1.5103413129814605</v>
      </c>
      <c r="AY101" s="15">
        <f t="shared" si="98"/>
        <v>0</v>
      </c>
      <c r="AZ101">
        <f t="shared" si="99"/>
        <v>0</v>
      </c>
      <c r="BB101">
        <f t="shared" si="62"/>
        <v>1.5103413129814605</v>
      </c>
      <c r="BC101" s="15">
        <f t="shared" si="63"/>
        <v>0</v>
      </c>
      <c r="BD101" s="15"/>
    </row>
    <row r="102" spans="1:56" ht="12.75">
      <c r="A102" s="1" t="s">
        <v>71</v>
      </c>
      <c r="B102" s="4"/>
      <c r="C102" s="4">
        <v>0.023842114154999452</v>
      </c>
      <c r="D102" s="5"/>
      <c r="E102" s="129"/>
      <c r="F102" s="135">
        <f>SUM(F103:F105)</f>
        <v>205.20316368776986</v>
      </c>
      <c r="G102" s="128"/>
      <c r="H102" s="136">
        <f>SUM(H103:H105)</f>
        <v>3.1313836330999014</v>
      </c>
      <c r="I102" s="137"/>
      <c r="J102" s="137"/>
      <c r="K102" s="138"/>
      <c r="L102" s="133"/>
      <c r="M102" s="133"/>
      <c r="N102" s="147"/>
      <c r="O102" s="133"/>
      <c r="P102" s="4"/>
      <c r="Q102" s="14"/>
      <c r="R102" s="15"/>
      <c r="S102" s="14"/>
      <c r="U102" s="15"/>
      <c r="V102" s="5"/>
      <c r="Y102" s="15">
        <f t="shared" si="73"/>
        <v>0</v>
      </c>
      <c r="Z102" s="15">
        <f t="shared" si="74"/>
        <v>0</v>
      </c>
      <c r="AA102" s="15">
        <f t="shared" si="61"/>
        <v>0</v>
      </c>
      <c r="AB102" s="16">
        <f t="shared" si="75"/>
        <v>0</v>
      </c>
      <c r="AC102">
        <f t="shared" si="76"/>
        <v>0</v>
      </c>
      <c r="AD102">
        <f t="shared" si="77"/>
        <v>0</v>
      </c>
      <c r="AE102">
        <f t="shared" si="78"/>
        <v>0</v>
      </c>
      <c r="AF102">
        <f t="shared" si="79"/>
        <v>0</v>
      </c>
      <c r="AG102">
        <f t="shared" si="80"/>
        <v>0</v>
      </c>
      <c r="AH102">
        <f t="shared" si="81"/>
        <v>0</v>
      </c>
      <c r="AI102">
        <f t="shared" si="82"/>
        <v>0</v>
      </c>
      <c r="AJ102" s="15">
        <f t="shared" si="83"/>
        <v>0</v>
      </c>
      <c r="AK102">
        <f t="shared" si="84"/>
        <v>0</v>
      </c>
      <c r="AL102">
        <f t="shared" si="85"/>
        <v>0</v>
      </c>
      <c r="AM102">
        <f t="shared" si="86"/>
        <v>0</v>
      </c>
      <c r="AN102">
        <f t="shared" si="87"/>
        <v>0</v>
      </c>
      <c r="AO102" s="15">
        <f t="shared" si="88"/>
        <v>0</v>
      </c>
      <c r="AP102">
        <f t="shared" si="89"/>
        <v>0</v>
      </c>
      <c r="AQ102">
        <f t="shared" si="90"/>
        <v>0</v>
      </c>
      <c r="AR102">
        <f t="shared" si="91"/>
        <v>0</v>
      </c>
      <c r="AS102">
        <f t="shared" si="92"/>
        <v>0</v>
      </c>
      <c r="AT102" s="15">
        <f t="shared" si="93"/>
        <v>0</v>
      </c>
      <c r="AU102">
        <f t="shared" si="94"/>
        <v>0</v>
      </c>
      <c r="AV102">
        <f t="shared" si="95"/>
        <v>0</v>
      </c>
      <c r="AW102">
        <f t="shared" si="96"/>
        <v>0</v>
      </c>
      <c r="AX102">
        <f t="shared" si="97"/>
        <v>0</v>
      </c>
      <c r="AY102" s="15">
        <f t="shared" si="98"/>
        <v>0</v>
      </c>
      <c r="AZ102">
        <f t="shared" si="99"/>
        <v>0</v>
      </c>
      <c r="BB102">
        <f t="shared" si="62"/>
        <v>0</v>
      </c>
      <c r="BC102" s="15">
        <f t="shared" si="63"/>
        <v>0</v>
      </c>
      <c r="BD102" s="15">
        <f>SUM(BB103:BC105)</f>
        <v>3.9142295413748767</v>
      </c>
    </row>
    <row r="103" spans="1:56" ht="12.75">
      <c r="A103" s="1" t="s">
        <v>72</v>
      </c>
      <c r="B103" s="1" t="s">
        <v>146</v>
      </c>
      <c r="C103" s="4">
        <v>0.008985701411090289</v>
      </c>
      <c r="D103" s="5">
        <v>2.7699558698433746</v>
      </c>
      <c r="E103" s="129">
        <f t="shared" si="64"/>
        <v>0.008234482043381177</v>
      </c>
      <c r="F103" s="135">
        <f>G103*$D103</f>
        <v>77.33770359130418</v>
      </c>
      <c r="G103" s="135">
        <v>27.92019339848804</v>
      </c>
      <c r="H103" s="136">
        <f>I103*$D103</f>
        <v>0.6735690608874654</v>
      </c>
      <c r="I103" s="137">
        <v>0.24316959999999999</v>
      </c>
      <c r="J103" s="141">
        <v>0.24316959999999999</v>
      </c>
      <c r="K103" s="138" t="s">
        <v>137</v>
      </c>
      <c r="L103" s="133">
        <v>0.008234482043381177</v>
      </c>
      <c r="M103" s="133">
        <f t="shared" si="65"/>
        <v>0.01282818023656535</v>
      </c>
      <c r="N103" s="147">
        <f t="shared" si="66"/>
        <v>77.95337932262656</v>
      </c>
      <c r="O103" s="133">
        <f t="shared" si="67"/>
        <v>0.0027593754747051386</v>
      </c>
      <c r="P103" s="4">
        <v>0.008985701411090289</v>
      </c>
      <c r="Q103" s="14">
        <f>P103/$P$7</f>
        <v>0.012165545192662679</v>
      </c>
      <c r="R103" s="15">
        <f t="shared" si="105"/>
        <v>82.19935762542916</v>
      </c>
      <c r="S103" s="14">
        <f t="shared" si="106"/>
        <v>0.0073377796161725045</v>
      </c>
      <c r="T103" s="15">
        <f t="shared" si="107"/>
        <v>0.6915417824713828</v>
      </c>
      <c r="U103" s="15">
        <f t="shared" si="104"/>
        <v>2.843866101977315</v>
      </c>
      <c r="V103" s="5">
        <v>3.462444837304218</v>
      </c>
      <c r="W103" s="15">
        <f t="shared" si="108"/>
        <v>0.6915417824713828</v>
      </c>
      <c r="X103" s="15">
        <f t="shared" si="109"/>
        <v>2.843866101977315</v>
      </c>
      <c r="Y103" s="15">
        <f t="shared" si="73"/>
        <v>0</v>
      </c>
      <c r="Z103" s="15">
        <f t="shared" si="74"/>
        <v>0.6915417824713828</v>
      </c>
      <c r="AA103" s="15">
        <f t="shared" si="61"/>
        <v>2.085388338345389</v>
      </c>
      <c r="AB103" s="16">
        <f t="shared" si="75"/>
        <v>8.57585955787808</v>
      </c>
      <c r="AC103">
        <f t="shared" si="76"/>
        <v>0</v>
      </c>
      <c r="AD103">
        <f t="shared" si="77"/>
        <v>0.8419613261093317</v>
      </c>
      <c r="AE103">
        <f t="shared" si="78"/>
        <v>0</v>
      </c>
      <c r="AF103">
        <f t="shared" si="79"/>
        <v>0</v>
      </c>
      <c r="AG103">
        <f t="shared" si="80"/>
        <v>0</v>
      </c>
      <c r="AH103">
        <f t="shared" si="81"/>
        <v>0</v>
      </c>
      <c r="AI103">
        <f t="shared" si="82"/>
        <v>0.8419613261093317</v>
      </c>
      <c r="AJ103" s="15">
        <f t="shared" si="83"/>
        <v>0</v>
      </c>
      <c r="AK103">
        <f t="shared" si="84"/>
        <v>0</v>
      </c>
      <c r="AL103">
        <f t="shared" si="85"/>
        <v>0</v>
      </c>
      <c r="AM103">
        <f t="shared" si="86"/>
        <v>0</v>
      </c>
      <c r="AN103">
        <f t="shared" si="87"/>
        <v>0.8419613261093317</v>
      </c>
      <c r="AO103" s="15">
        <f t="shared" si="88"/>
        <v>0</v>
      </c>
      <c r="AP103">
        <f t="shared" si="89"/>
        <v>0</v>
      </c>
      <c r="AQ103">
        <f t="shared" si="90"/>
        <v>0</v>
      </c>
      <c r="AR103">
        <f t="shared" si="91"/>
        <v>0</v>
      </c>
      <c r="AS103">
        <f t="shared" si="92"/>
        <v>0.8419613261093317</v>
      </c>
      <c r="AT103" s="15">
        <f t="shared" si="93"/>
        <v>0</v>
      </c>
      <c r="AU103">
        <f t="shared" si="94"/>
        <v>0</v>
      </c>
      <c r="AV103">
        <f t="shared" si="95"/>
        <v>0</v>
      </c>
      <c r="AW103">
        <f t="shared" si="96"/>
        <v>0</v>
      </c>
      <c r="AX103">
        <f t="shared" si="97"/>
        <v>0.8419613261093317</v>
      </c>
      <c r="AY103" s="15">
        <f t="shared" si="98"/>
        <v>0</v>
      </c>
      <c r="AZ103">
        <f t="shared" si="99"/>
        <v>0</v>
      </c>
      <c r="BB103">
        <f t="shared" si="62"/>
        <v>0.8419613261093317</v>
      </c>
      <c r="BC103" s="15">
        <f t="shared" si="63"/>
        <v>0</v>
      </c>
      <c r="BD103" s="15"/>
    </row>
    <row r="104" spans="1:56" ht="12.75">
      <c r="A104" s="1" t="s">
        <v>244</v>
      </c>
      <c r="B104" s="1" t="s">
        <v>147</v>
      </c>
      <c r="C104" s="4">
        <v>0.008578662771469518</v>
      </c>
      <c r="D104" s="5">
        <v>1.0041456625202214</v>
      </c>
      <c r="E104" s="129">
        <f t="shared" si="64"/>
        <v>0.0029851087221217723</v>
      </c>
      <c r="F104" s="135">
        <f>G104*$D104</f>
        <v>73.83442296567083</v>
      </c>
      <c r="G104" s="135">
        <v>73.52959408335238</v>
      </c>
      <c r="H104" s="136">
        <f>I104*$D104</f>
        <v>0.9419890460102197</v>
      </c>
      <c r="I104" s="137">
        <v>0.9381</v>
      </c>
      <c r="J104" s="137">
        <v>0.9381</v>
      </c>
      <c r="K104" s="138">
        <f>J104-I104</f>
        <v>0</v>
      </c>
      <c r="L104" s="133">
        <v>0.0029851087221217723</v>
      </c>
      <c r="M104" s="133">
        <f t="shared" si="65"/>
        <v>0.004650385113645544</v>
      </c>
      <c r="N104" s="147">
        <f t="shared" si="66"/>
        <v>215.03595413328617</v>
      </c>
      <c r="O104" s="133">
        <f t="shared" si="67"/>
        <v>0.007611792370917526</v>
      </c>
      <c r="P104" s="4">
        <v>0.008578662771469518</v>
      </c>
      <c r="Q104" s="14">
        <f>P104/$P$7</f>
        <v>0.011614464454618703</v>
      </c>
      <c r="R104" s="15">
        <f t="shared" si="105"/>
        <v>86.09953596287703</v>
      </c>
      <c r="S104" s="14">
        <f t="shared" si="106"/>
        <v>0.007685941085199716</v>
      </c>
      <c r="T104" s="15">
        <f t="shared" si="107"/>
        <v>0.724353915769619</v>
      </c>
      <c r="U104" s="15">
        <f t="shared" si="104"/>
        <v>0.7721500008204019</v>
      </c>
      <c r="V104" s="5">
        <v>1.2551820781502767</v>
      </c>
      <c r="W104" s="15">
        <f t="shared" si="108"/>
        <v>0.724353915769619</v>
      </c>
      <c r="X104" s="15">
        <f t="shared" si="109"/>
        <v>0.7721500008204019</v>
      </c>
      <c r="Y104" s="15">
        <f t="shared" si="73"/>
        <v>0</v>
      </c>
      <c r="Z104" s="15">
        <f t="shared" si="74"/>
        <v>0.724353915769619</v>
      </c>
      <c r="AA104" s="15">
        <f t="shared" si="61"/>
        <v>2.1843354184362553</v>
      </c>
      <c r="AB104" s="16">
        <f t="shared" si="75"/>
        <v>2.328467560426666</v>
      </c>
      <c r="AC104">
        <f t="shared" si="76"/>
        <v>0</v>
      </c>
      <c r="AD104">
        <f t="shared" si="77"/>
        <v>1.1774863075127746</v>
      </c>
      <c r="AE104">
        <f t="shared" si="78"/>
        <v>0</v>
      </c>
      <c r="AF104">
        <f t="shared" si="79"/>
        <v>0</v>
      </c>
      <c r="AG104">
        <f t="shared" si="80"/>
        <v>0</v>
      </c>
      <c r="AH104">
        <f t="shared" si="81"/>
        <v>0</v>
      </c>
      <c r="AI104">
        <f t="shared" si="82"/>
        <v>1.1774863075127746</v>
      </c>
      <c r="AJ104" s="15">
        <f t="shared" si="83"/>
        <v>0</v>
      </c>
      <c r="AK104">
        <f t="shared" si="84"/>
        <v>0</v>
      </c>
      <c r="AL104">
        <f t="shared" si="85"/>
        <v>0</v>
      </c>
      <c r="AM104">
        <f t="shared" si="86"/>
        <v>0</v>
      </c>
      <c r="AN104">
        <f t="shared" si="87"/>
        <v>1.1774863075127746</v>
      </c>
      <c r="AO104" s="15">
        <f t="shared" si="88"/>
        <v>0</v>
      </c>
      <c r="AP104">
        <f t="shared" si="89"/>
        <v>0</v>
      </c>
      <c r="AQ104">
        <f t="shared" si="90"/>
        <v>0</v>
      </c>
      <c r="AR104">
        <f t="shared" si="91"/>
        <v>0</v>
      </c>
      <c r="AS104">
        <f t="shared" si="92"/>
        <v>1.1774863075127746</v>
      </c>
      <c r="AT104" s="15">
        <f t="shared" si="93"/>
        <v>0</v>
      </c>
      <c r="AU104">
        <f t="shared" si="94"/>
        <v>0</v>
      </c>
      <c r="AV104">
        <f t="shared" si="95"/>
        <v>0</v>
      </c>
      <c r="AW104">
        <f t="shared" si="96"/>
        <v>0</v>
      </c>
      <c r="AX104">
        <f t="shared" si="97"/>
        <v>1.1774863075127746</v>
      </c>
      <c r="AY104" s="15">
        <f t="shared" si="98"/>
        <v>0</v>
      </c>
      <c r="AZ104">
        <f t="shared" si="99"/>
        <v>0</v>
      </c>
      <c r="BB104">
        <f t="shared" si="62"/>
        <v>1.1774863075127746</v>
      </c>
      <c r="BC104" s="15">
        <f t="shared" si="63"/>
        <v>0</v>
      </c>
      <c r="BD104" s="15"/>
    </row>
    <row r="105" spans="1:56" ht="12.75">
      <c r="A105" s="1" t="s">
        <v>245</v>
      </c>
      <c r="B105" s="1" t="s">
        <v>127</v>
      </c>
      <c r="C105" s="4">
        <v>0.006277749972439644</v>
      </c>
      <c r="D105" s="5">
        <v>8.037250934264138</v>
      </c>
      <c r="E105" s="129">
        <f t="shared" si="64"/>
        <v>0.023893015486953908</v>
      </c>
      <c r="F105" s="135">
        <f>G105*$D105</f>
        <v>54.03103713079484</v>
      </c>
      <c r="G105" s="135">
        <v>6.722576857772543</v>
      </c>
      <c r="H105" s="136">
        <f>I105*$D105</f>
        <v>1.5158255262022164</v>
      </c>
      <c r="I105" s="137">
        <v>0.1886</v>
      </c>
      <c r="J105" s="137">
        <v>0.1886</v>
      </c>
      <c r="K105" s="138">
        <f>J105-I105</f>
        <v>0</v>
      </c>
      <c r="L105" s="133">
        <v>0.023893015486953908</v>
      </c>
      <c r="M105" s="133">
        <f t="shared" si="65"/>
        <v>0.03722200223972288</v>
      </c>
      <c r="N105" s="147">
        <f t="shared" si="66"/>
        <v>26.86583041824687</v>
      </c>
      <c r="O105" s="133">
        <f t="shared" si="67"/>
        <v>0.0009509903766568342</v>
      </c>
      <c r="P105" s="4">
        <v>0.006277749972439644</v>
      </c>
      <c r="Q105" s="14">
        <f>P105/$P$7</f>
        <v>0.008499308791152528</v>
      </c>
      <c r="R105" s="15">
        <f t="shared" si="105"/>
        <v>117.65662650602408</v>
      </c>
      <c r="S105" s="14">
        <f t="shared" si="106"/>
        <v>0.010502982269248819</v>
      </c>
      <c r="T105" s="15">
        <f t="shared" si="107"/>
        <v>0.9898431759565814</v>
      </c>
      <c r="U105" s="15">
        <f t="shared" si="104"/>
        <v>5.2483731492925845</v>
      </c>
      <c r="V105" s="5">
        <v>10.046563667830172</v>
      </c>
      <c r="W105" s="15">
        <f t="shared" si="108"/>
        <v>0.9898431759565813</v>
      </c>
      <c r="X105" s="15">
        <f t="shared" si="109"/>
        <v>5.2483731492925845</v>
      </c>
      <c r="Y105" s="15">
        <f t="shared" si="73"/>
        <v>0</v>
      </c>
      <c r="Z105" s="15">
        <f t="shared" si="74"/>
        <v>0.9898431759565813</v>
      </c>
      <c r="AA105" s="15">
        <f t="shared" si="61"/>
        <v>2.9849352103551867</v>
      </c>
      <c r="AB105" s="16">
        <f t="shared" si="75"/>
        <v>15.826803872508945</v>
      </c>
      <c r="AC105">
        <f t="shared" si="76"/>
        <v>0</v>
      </c>
      <c r="AD105">
        <f t="shared" si="77"/>
        <v>1.8947819077527703</v>
      </c>
      <c r="AE105">
        <f t="shared" si="78"/>
        <v>0</v>
      </c>
      <c r="AF105">
        <f t="shared" si="79"/>
        <v>0</v>
      </c>
      <c r="AG105">
        <f t="shared" si="80"/>
        <v>0</v>
      </c>
      <c r="AH105">
        <f t="shared" si="81"/>
        <v>0</v>
      </c>
      <c r="AI105">
        <f t="shared" si="82"/>
        <v>1.8947819077527703</v>
      </c>
      <c r="AJ105" s="15">
        <f t="shared" si="83"/>
        <v>0</v>
      </c>
      <c r="AK105">
        <f t="shared" si="84"/>
        <v>0</v>
      </c>
      <c r="AL105">
        <f t="shared" si="85"/>
        <v>0</v>
      </c>
      <c r="AM105">
        <f t="shared" si="86"/>
        <v>0</v>
      </c>
      <c r="AN105">
        <f t="shared" si="87"/>
        <v>1.8947819077527703</v>
      </c>
      <c r="AO105" s="15">
        <f t="shared" si="88"/>
        <v>0</v>
      </c>
      <c r="AP105">
        <f t="shared" si="89"/>
        <v>0</v>
      </c>
      <c r="AQ105">
        <f t="shared" si="90"/>
        <v>0</v>
      </c>
      <c r="AR105">
        <f t="shared" si="91"/>
        <v>0</v>
      </c>
      <c r="AS105">
        <f t="shared" si="92"/>
        <v>1.8947819077527703</v>
      </c>
      <c r="AT105" s="15">
        <f t="shared" si="93"/>
        <v>0</v>
      </c>
      <c r="AU105">
        <f t="shared" si="94"/>
        <v>0</v>
      </c>
      <c r="AV105">
        <f t="shared" si="95"/>
        <v>0</v>
      </c>
      <c r="AW105">
        <f t="shared" si="96"/>
        <v>0</v>
      </c>
      <c r="AX105">
        <f t="shared" si="97"/>
        <v>1.8947819077527703</v>
      </c>
      <c r="AY105" s="15">
        <f t="shared" si="98"/>
        <v>0</v>
      </c>
      <c r="AZ105">
        <f t="shared" si="99"/>
        <v>0</v>
      </c>
      <c r="BB105">
        <f t="shared" si="62"/>
        <v>1.8947819077527703</v>
      </c>
      <c r="BC105" s="15">
        <f t="shared" si="63"/>
        <v>0</v>
      </c>
      <c r="BD105" s="15"/>
    </row>
    <row r="106" spans="1:57" ht="12.75">
      <c r="A106" s="1" t="s">
        <v>73</v>
      </c>
      <c r="B106" s="3"/>
      <c r="C106" s="4">
        <v>0.011676734373277478</v>
      </c>
      <c r="D106" s="5"/>
      <c r="E106" s="129"/>
      <c r="F106" s="135">
        <f>SUM(F107)</f>
        <v>100.49875692067468</v>
      </c>
      <c r="G106" s="128"/>
      <c r="H106" s="136">
        <f>SUM(H107)</f>
        <v>4.740861798629507</v>
      </c>
      <c r="I106" s="137"/>
      <c r="J106" s="137"/>
      <c r="K106" s="138">
        <f>J106-I106</f>
        <v>0</v>
      </c>
      <c r="L106" s="133"/>
      <c r="M106" s="133"/>
      <c r="N106" s="147"/>
      <c r="O106" s="133"/>
      <c r="P106" s="4"/>
      <c r="Q106" s="14"/>
      <c r="R106" s="15"/>
      <c r="S106" s="14"/>
      <c r="U106" s="15"/>
      <c r="V106" s="5"/>
      <c r="Y106" s="15">
        <f t="shared" si="73"/>
        <v>0</v>
      </c>
      <c r="Z106" s="15">
        <f t="shared" si="74"/>
        <v>0</v>
      </c>
      <c r="AA106" s="15">
        <f t="shared" si="61"/>
        <v>0</v>
      </c>
      <c r="AB106" s="16">
        <f t="shared" si="75"/>
        <v>0</v>
      </c>
      <c r="AC106">
        <f t="shared" si="76"/>
        <v>0</v>
      </c>
      <c r="AD106">
        <f t="shared" si="77"/>
        <v>0</v>
      </c>
      <c r="AE106">
        <f t="shared" si="78"/>
        <v>0</v>
      </c>
      <c r="AF106">
        <f t="shared" si="79"/>
        <v>0</v>
      </c>
      <c r="AG106">
        <f t="shared" si="80"/>
        <v>0</v>
      </c>
      <c r="AH106">
        <f t="shared" si="81"/>
        <v>0</v>
      </c>
      <c r="AI106">
        <f t="shared" si="82"/>
        <v>0</v>
      </c>
      <c r="AJ106" s="15">
        <f t="shared" si="83"/>
        <v>0</v>
      </c>
      <c r="AK106">
        <f t="shared" si="84"/>
        <v>0</v>
      </c>
      <c r="AL106">
        <f t="shared" si="85"/>
        <v>0</v>
      </c>
      <c r="AM106">
        <f t="shared" si="86"/>
        <v>0</v>
      </c>
      <c r="AN106">
        <f t="shared" si="87"/>
        <v>0</v>
      </c>
      <c r="AO106" s="15">
        <f t="shared" si="88"/>
        <v>0</v>
      </c>
      <c r="AP106">
        <f t="shared" si="89"/>
        <v>0</v>
      </c>
      <c r="AQ106">
        <f t="shared" si="90"/>
        <v>0</v>
      </c>
      <c r="AR106">
        <f t="shared" si="91"/>
        <v>0</v>
      </c>
      <c r="AS106">
        <f t="shared" si="92"/>
        <v>0</v>
      </c>
      <c r="AT106" s="15">
        <f t="shared" si="93"/>
        <v>0</v>
      </c>
      <c r="AU106">
        <f t="shared" si="94"/>
        <v>0</v>
      </c>
      <c r="AV106">
        <f t="shared" si="95"/>
        <v>0</v>
      </c>
      <c r="AW106">
        <f t="shared" si="96"/>
        <v>0</v>
      </c>
      <c r="AX106">
        <f t="shared" si="97"/>
        <v>0</v>
      </c>
      <c r="AY106" s="15">
        <f t="shared" si="98"/>
        <v>0</v>
      </c>
      <c r="AZ106">
        <f t="shared" si="99"/>
        <v>0</v>
      </c>
      <c r="BB106">
        <f t="shared" si="62"/>
        <v>0</v>
      </c>
      <c r="BC106" s="15">
        <f t="shared" si="63"/>
        <v>0</v>
      </c>
      <c r="BD106" s="15">
        <f>SUM(BB107:BC107)</f>
        <v>3.2106410169215094</v>
      </c>
      <c r="BE106" t="s">
        <v>0</v>
      </c>
    </row>
    <row r="107" spans="1:56" ht="12.75">
      <c r="A107" s="1" t="s">
        <v>74</v>
      </c>
      <c r="B107" s="1" t="s">
        <v>148</v>
      </c>
      <c r="C107" s="4">
        <v>0.011676734373277478</v>
      </c>
      <c r="D107" s="5">
        <v>5.914986648321282</v>
      </c>
      <c r="E107" s="129">
        <f t="shared" si="64"/>
        <v>0.01758398098421514</v>
      </c>
      <c r="F107" s="135">
        <f>G107*$D107</f>
        <v>100.49875692067468</v>
      </c>
      <c r="G107" s="135">
        <v>16.99052980097546</v>
      </c>
      <c r="H107" s="136">
        <f>I107*$D107</f>
        <v>4.740861798629507</v>
      </c>
      <c r="I107" s="137">
        <v>0.8015</v>
      </c>
      <c r="J107" s="137">
        <v>0.8015</v>
      </c>
      <c r="K107" s="138">
        <f>J107-I107</f>
        <v>0</v>
      </c>
      <c r="L107" s="133">
        <v>0.01758398098421514</v>
      </c>
      <c r="M107" s="133">
        <f t="shared" si="65"/>
        <v>0.02739340205655821</v>
      </c>
      <c r="N107" s="147">
        <f t="shared" si="66"/>
        <v>36.505140834107955</v>
      </c>
      <c r="O107" s="133">
        <f t="shared" si="67"/>
        <v>0.0012922004304828966</v>
      </c>
      <c r="P107" s="4">
        <v>0.011676734373277478</v>
      </c>
      <c r="Q107" s="14">
        <f>P107/$P$7</f>
        <v>0.01580887603782381</v>
      </c>
      <c r="R107" s="15">
        <f t="shared" si="105"/>
        <v>63.25560385238217</v>
      </c>
      <c r="S107" s="14">
        <f t="shared" si="106"/>
        <v>0.005646706908243549</v>
      </c>
      <c r="T107" s="15">
        <f t="shared" si="107"/>
        <v>0.5321683076735803</v>
      </c>
      <c r="U107" s="15">
        <f t="shared" si="104"/>
        <v>0.6639654493743983</v>
      </c>
      <c r="V107" s="5">
        <v>7.393733310401602</v>
      </c>
      <c r="W107" s="15">
        <f t="shared" si="108"/>
        <v>0.5321683076735803</v>
      </c>
      <c r="X107" s="15">
        <f t="shared" si="109"/>
        <v>0.6639654493743983</v>
      </c>
      <c r="Y107" s="15">
        <f t="shared" si="73"/>
        <v>0</v>
      </c>
      <c r="Z107" s="15">
        <f t="shared" si="74"/>
        <v>0.5321683076735803</v>
      </c>
      <c r="AA107" s="15">
        <f t="shared" si="61"/>
        <v>1.604787463301843</v>
      </c>
      <c r="AB107" s="16">
        <f t="shared" si="75"/>
        <v>2.0022301476005526</v>
      </c>
      <c r="AC107">
        <f t="shared" si="76"/>
        <v>2.0022301476005526</v>
      </c>
      <c r="AD107">
        <f t="shared" si="77"/>
        <v>0</v>
      </c>
      <c r="AE107">
        <f t="shared" si="78"/>
        <v>1.6047874633018429</v>
      </c>
      <c r="AF107">
        <f t="shared" si="79"/>
        <v>2.8234935159984627</v>
      </c>
      <c r="AG107">
        <f t="shared" si="80"/>
        <v>3.5227617167791174</v>
      </c>
      <c r="AH107">
        <f t="shared" si="81"/>
        <v>3.5227617167791174</v>
      </c>
      <c r="AI107">
        <f t="shared" si="82"/>
        <v>0</v>
      </c>
      <c r="AJ107" s="15">
        <f t="shared" si="83"/>
        <v>2.8234935159984627</v>
      </c>
      <c r="AK107">
        <f t="shared" si="84"/>
        <v>3.1910245031433835</v>
      </c>
      <c r="AL107">
        <f t="shared" si="85"/>
        <v>3.9813156620628614</v>
      </c>
      <c r="AM107">
        <f t="shared" si="86"/>
        <v>3.9813156620628614</v>
      </c>
      <c r="AN107">
        <f t="shared" si="87"/>
        <v>0</v>
      </c>
      <c r="AO107" s="15">
        <f t="shared" si="88"/>
        <v>3.1910245031433835</v>
      </c>
      <c r="AP107">
        <f t="shared" si="89"/>
        <v>3.21064101692151</v>
      </c>
      <c r="AQ107">
        <f t="shared" si="90"/>
        <v>4.005790414125403</v>
      </c>
      <c r="AR107">
        <f t="shared" si="91"/>
        <v>4.005790414125403</v>
      </c>
      <c r="AS107">
        <f t="shared" si="92"/>
        <v>0</v>
      </c>
      <c r="AT107" s="15">
        <f t="shared" si="93"/>
        <v>3.2106410169215103</v>
      </c>
      <c r="AU107">
        <f t="shared" si="94"/>
        <v>3.2106410169215094</v>
      </c>
      <c r="AV107">
        <f t="shared" si="95"/>
        <v>4.005790414125402</v>
      </c>
      <c r="AW107">
        <f t="shared" si="96"/>
        <v>4.005790414125402</v>
      </c>
      <c r="AX107">
        <f t="shared" si="97"/>
        <v>0</v>
      </c>
      <c r="AY107" s="15">
        <f t="shared" si="98"/>
        <v>3.2106410169215094</v>
      </c>
      <c r="AZ107">
        <f t="shared" si="99"/>
        <v>3.2106410169215094</v>
      </c>
      <c r="BB107">
        <f t="shared" si="62"/>
        <v>0</v>
      </c>
      <c r="BC107" s="15">
        <f t="shared" si="63"/>
        <v>3.2106410169215094</v>
      </c>
      <c r="BD107" s="15"/>
    </row>
    <row r="108" spans="1:57" ht="12.75">
      <c r="A108" s="1" t="s">
        <v>75</v>
      </c>
      <c r="B108" s="3"/>
      <c r="C108" s="4">
        <v>0.03165790309778415</v>
      </c>
      <c r="D108" s="5"/>
      <c r="E108" s="129"/>
      <c r="F108" s="135">
        <f>SUM(F109:F111)</f>
        <v>227.06055442888325</v>
      </c>
      <c r="G108" s="128"/>
      <c r="H108" s="136">
        <f>SUM(H109:H111)</f>
        <v>5.268341388344465</v>
      </c>
      <c r="I108" s="137"/>
      <c r="J108" s="137"/>
      <c r="K108" s="138">
        <f>J108-I108</f>
        <v>0</v>
      </c>
      <c r="L108" s="133"/>
      <c r="M108" s="133"/>
      <c r="N108" s="147"/>
      <c r="O108" s="133"/>
      <c r="P108" s="4"/>
      <c r="Q108" s="14"/>
      <c r="R108" s="15"/>
      <c r="S108" s="14"/>
      <c r="U108" s="15"/>
      <c r="V108" s="5"/>
      <c r="Y108" s="15">
        <f>IF(X108=0,V108*J108,0)</f>
        <v>0</v>
      </c>
      <c r="Z108" s="15">
        <f>IF(X108=0,0,X108*J108)</f>
        <v>0</v>
      </c>
      <c r="AA108" s="15">
        <f t="shared" si="61"/>
        <v>0</v>
      </c>
      <c r="AB108" s="16">
        <f>IF(J108=0,0,AA108/J108)</f>
        <v>0</v>
      </c>
      <c r="AC108">
        <f>IF(AB108&lt;V108,AB108,0)</f>
        <v>0</v>
      </c>
      <c r="AD108">
        <f>IF(AC108=0,V108*J108,0)</f>
        <v>0</v>
      </c>
      <c r="AE108">
        <f>IF(AC108=0,0,J108*AC108)</f>
        <v>0</v>
      </c>
      <c r="AF108">
        <f>$AF$7/$AE$7*AE108</f>
        <v>0</v>
      </c>
      <c r="AG108">
        <f>IF(J108=0,0,AF108/J108)</f>
        <v>0</v>
      </c>
      <c r="AH108">
        <f>IF(AG108&lt;V108,AG108,0)</f>
        <v>0</v>
      </c>
      <c r="AI108">
        <f>IF(AH108=0,$V108*$J108,0)</f>
        <v>0</v>
      </c>
      <c r="AJ108" s="15">
        <f>IF(AH108=0,0,AH108*$J108)</f>
        <v>0</v>
      </c>
      <c r="AK108">
        <f>$AK$7/$AJ$7*AJ108</f>
        <v>0</v>
      </c>
      <c r="AL108">
        <f>IF($J108=0,0,AK108/$J108)</f>
        <v>0</v>
      </c>
      <c r="AM108">
        <f>IF(AL108&lt;$V108,AL108,0)</f>
        <v>0</v>
      </c>
      <c r="AN108">
        <f>IF(AM108=0,$V108*$J108,0)</f>
        <v>0</v>
      </c>
      <c r="AO108" s="15">
        <f>IF(AM108=0,0,AM108*$J108)</f>
        <v>0</v>
      </c>
      <c r="AP108">
        <f>$AP$7/$AO$7*AO108</f>
        <v>0</v>
      </c>
      <c r="AQ108">
        <f>IF($J108=0,0,AP108/$J108)</f>
        <v>0</v>
      </c>
      <c r="AR108">
        <f>IF(AQ108&lt;$V108,AQ108,0)</f>
        <v>0</v>
      </c>
      <c r="AS108">
        <f>IF(AR108=0,$V108*$J108,0)</f>
        <v>0</v>
      </c>
      <c r="AT108" s="15">
        <f>IF(AR108=0,0,AR108*$J108)</f>
        <v>0</v>
      </c>
      <c r="AU108">
        <f>$AU$7/$AT$7*AT108</f>
        <v>0</v>
      </c>
      <c r="AV108">
        <f>IF($J108=0,0,AU108/$J108)</f>
        <v>0</v>
      </c>
      <c r="AW108">
        <f>IF(AV108&lt;$V108,AV108,0)</f>
        <v>0</v>
      </c>
      <c r="AX108">
        <f>IF(AW108=0,$V108*$J108,0)</f>
        <v>0</v>
      </c>
      <c r="AY108" s="15">
        <f>IF(AW108=0,0,AW108*$J108)</f>
        <v>0</v>
      </c>
      <c r="AZ108">
        <f>$AZ$7/$AY$7*AY108</f>
        <v>0</v>
      </c>
      <c r="BB108">
        <f t="shared" si="62"/>
        <v>0</v>
      </c>
      <c r="BC108" s="15">
        <f t="shared" si="63"/>
        <v>0</v>
      </c>
      <c r="BD108" s="15">
        <f>SUM(BB109:BC110)</f>
        <v>4.750970568180148</v>
      </c>
      <c r="BE108" t="s">
        <v>0</v>
      </c>
    </row>
    <row r="109" spans="1:56" ht="12.75">
      <c r="A109" s="1" t="s">
        <v>76</v>
      </c>
      <c r="B109" s="3"/>
      <c r="C109" s="4">
        <v>0.013276028001322897</v>
      </c>
      <c r="D109" s="5">
        <v>1.9675170824510573</v>
      </c>
      <c r="E109" s="129">
        <f t="shared" si="64"/>
        <v>0.00584900440540414</v>
      </c>
      <c r="F109" s="135">
        <f>G109*$D109</f>
        <v>95.21956712703486</v>
      </c>
      <c r="G109" s="135">
        <v>48.39580198633599</v>
      </c>
      <c r="H109" s="136">
        <f>I109*$D109</f>
        <v>1.399494900747437</v>
      </c>
      <c r="I109" s="137">
        <v>0.7113</v>
      </c>
      <c r="J109" s="137">
        <v>0.7113</v>
      </c>
      <c r="K109" s="138" t="s">
        <v>137</v>
      </c>
      <c r="L109" s="133">
        <v>0.00584900440540414</v>
      </c>
      <c r="M109" s="133">
        <f t="shared" si="65"/>
        <v>0.009111937134807326</v>
      </c>
      <c r="N109" s="147">
        <f t="shared" si="66"/>
        <v>109.74614785038739</v>
      </c>
      <c r="O109" s="133">
        <f t="shared" si="67"/>
        <v>0.0038847684533135315</v>
      </c>
      <c r="P109" s="4">
        <v>0.013276028001322897</v>
      </c>
      <c r="Q109" s="14">
        <f>P109/$P$7</f>
        <v>0.01797412480563962</v>
      </c>
      <c r="R109" s="15">
        <f>1/Q109</f>
        <v>55.635532233883055</v>
      </c>
      <c r="S109" s="14">
        <f>R109/$R$7</f>
        <v>0.004966477672745244</v>
      </c>
      <c r="T109" s="15">
        <f>S109*$T$7</f>
        <v>0.46806077615698016</v>
      </c>
      <c r="U109" s="15">
        <f t="shared" si="104"/>
        <v>0.6580356757443837</v>
      </c>
      <c r="V109" s="5">
        <v>2.951275623676586</v>
      </c>
      <c r="W109" s="15">
        <f>IF(U109&lt;V109,U109*I109,0)</f>
        <v>0.46806077615698016</v>
      </c>
      <c r="X109" s="15">
        <f>IF(U109&lt;V109,U99:U109,0)</f>
        <v>0.6580356757443837</v>
      </c>
      <c r="Y109" s="15">
        <f>IF(X109=0,V109*J109,0)</f>
        <v>0</v>
      </c>
      <c r="Z109" s="15">
        <f>IF(X109=0,0,X109*J109)</f>
        <v>0.46806077615698016</v>
      </c>
      <c r="AA109" s="15">
        <f t="shared" si="61"/>
        <v>1.411467114461808</v>
      </c>
      <c r="AB109" s="16">
        <f>IF(J109=0,0,AA109/J109)</f>
        <v>1.9843485371317418</v>
      </c>
      <c r="AC109">
        <f>IF(AB109&lt;V109,AB109,0)</f>
        <v>1.9843485371317418</v>
      </c>
      <c r="AD109">
        <f>IF(AC109=0,V109*J109,0)</f>
        <v>0</v>
      </c>
      <c r="AE109">
        <f>IF(AC109=0,0,J109*AC109)</f>
        <v>1.411467114461808</v>
      </c>
      <c r="AF109">
        <f>$AF$7/$AE$7*AE109</f>
        <v>2.4833620257278826</v>
      </c>
      <c r="AG109">
        <f>IF(J109=0,0,AF109/J109)</f>
        <v>3.491300471991962</v>
      </c>
      <c r="AH109">
        <f>IF(AG109&lt;V109,AG109,0)</f>
        <v>0</v>
      </c>
      <c r="AI109">
        <f>IF(AH109=0,$V109*$J109,0)</f>
        <v>2.0992423511211555</v>
      </c>
      <c r="AJ109" s="15">
        <f>IF(AH109=0,0,AH109*$J109)</f>
        <v>0</v>
      </c>
      <c r="AK109">
        <f>$AK$7/$AJ$7*AJ109</f>
        <v>0</v>
      </c>
      <c r="AL109">
        <f>IF($J109=0,0,AK109/$J109)</f>
        <v>0</v>
      </c>
      <c r="AM109">
        <f>IF(AL109&lt;$V109,AL109,0)</f>
        <v>0</v>
      </c>
      <c r="AN109">
        <f>IF(AM109=0,$V109*$J109,0)</f>
        <v>2.0992423511211555</v>
      </c>
      <c r="AO109" s="15">
        <f>IF(AM109=0,0,AM109*$J109)</f>
        <v>0</v>
      </c>
      <c r="AP109">
        <f>$AP$7/$AO$7*AO109</f>
        <v>0</v>
      </c>
      <c r="AQ109">
        <f>IF($J109=0,0,AP109/$J109)</f>
        <v>0</v>
      </c>
      <c r="AR109">
        <f>IF(AQ109&lt;$V109,AQ109,0)</f>
        <v>0</v>
      </c>
      <c r="AS109">
        <f>IF(AR109=0,$V109*$J109,0)</f>
        <v>2.0992423511211555</v>
      </c>
      <c r="AT109" s="15">
        <f>IF(AR109=0,0,AR109*$J109)</f>
        <v>0</v>
      </c>
      <c r="AU109">
        <f>$AU$7/$AT$7*AT109</f>
        <v>0</v>
      </c>
      <c r="AV109">
        <f>IF($J109=0,0,AU109/$J109)</f>
        <v>0</v>
      </c>
      <c r="AW109">
        <f>IF(AV109&lt;$V109,AV109,0)</f>
        <v>0</v>
      </c>
      <c r="AX109">
        <f>IF(AW109=0,$V109*$J109,0)</f>
        <v>2.0992423511211555</v>
      </c>
      <c r="AY109" s="15">
        <f>IF(AW109=0,0,AW109*$J109)</f>
        <v>0</v>
      </c>
      <c r="AZ109">
        <f>$AZ$7/$AY$7*AY109</f>
        <v>0</v>
      </c>
      <c r="BB109">
        <f t="shared" si="62"/>
        <v>2.0992423511211555</v>
      </c>
      <c r="BC109" s="15">
        <f t="shared" si="63"/>
        <v>0</v>
      </c>
      <c r="BD109" s="15"/>
    </row>
    <row r="110" spans="1:56" ht="12.75">
      <c r="A110" s="1" t="s">
        <v>77</v>
      </c>
      <c r="B110" s="4"/>
      <c r="C110" s="4">
        <v>0.01413787509646125</v>
      </c>
      <c r="D110" s="5">
        <v>1.0872240412770884</v>
      </c>
      <c r="E110" s="129">
        <f t="shared" si="64"/>
        <v>0.0032320828438088894</v>
      </c>
      <c r="F110" s="135">
        <f>G110*$D110</f>
        <v>101.40098730184839</v>
      </c>
      <c r="G110" s="135">
        <v>93.26595389</v>
      </c>
      <c r="H110" s="136">
        <f>I110*$D110</f>
        <v>2.8712499706086625</v>
      </c>
      <c r="I110" s="137">
        <v>2.6409</v>
      </c>
      <c r="J110" s="137">
        <v>2.6409</v>
      </c>
      <c r="K110" s="138" t="s">
        <v>137</v>
      </c>
      <c r="L110" s="133">
        <v>0.0032320828438088894</v>
      </c>
      <c r="M110" s="133">
        <f t="shared" si="65"/>
        <v>0.00503513651999737</v>
      </c>
      <c r="N110" s="147">
        <f t="shared" si="66"/>
        <v>198.60434687886524</v>
      </c>
      <c r="O110" s="133">
        <f t="shared" si="67"/>
        <v>0.007030150183473889</v>
      </c>
      <c r="P110" s="4">
        <v>0.01413787509646125</v>
      </c>
      <c r="Q110" s="14">
        <f>P110/$P$7</f>
        <v>0.019140960793771845</v>
      </c>
      <c r="R110" s="15">
        <f>1/Q110</f>
        <v>52.243981416302965</v>
      </c>
      <c r="S110" s="14">
        <f>R110/$R$7</f>
        <v>0.004663720410701222</v>
      </c>
      <c r="T110" s="15">
        <f>S110*$T$7</f>
        <v>0.43952771743869606</v>
      </c>
      <c r="U110" s="15">
        <f t="shared" si="104"/>
        <v>0.16643103390461436</v>
      </c>
      <c r="V110" s="5">
        <v>1.6308360619156326</v>
      </c>
      <c r="W110" s="15">
        <f>IF(U110&lt;V110,U110*I110,0)</f>
        <v>0.439527717438696</v>
      </c>
      <c r="X110" s="15">
        <f>IF(U110&lt;V110,U100:U110,0)</f>
        <v>0.16643103390461436</v>
      </c>
      <c r="Y110" s="15">
        <f>IF(X110=0,V110*J110,0)</f>
        <v>0</v>
      </c>
      <c r="Z110" s="15">
        <f>IF(X110=0,0,X110*J110)</f>
        <v>0.439527717438696</v>
      </c>
      <c r="AA110" s="15">
        <f t="shared" si="61"/>
        <v>1.3254238566042882</v>
      </c>
      <c r="AB110" s="16">
        <f>IF(J110=0,0,AA110/J110)</f>
        <v>0.5018833945262177</v>
      </c>
      <c r="AC110">
        <f>IF(AB110&lt;V110,AB110,0)</f>
        <v>0.5018833945262177</v>
      </c>
      <c r="AD110">
        <f>IF(AC110=0,V110*J110,0)</f>
        <v>0</v>
      </c>
      <c r="AE110">
        <f>IF(AC110=0,0,J110*AC110)</f>
        <v>1.3254238566042882</v>
      </c>
      <c r="AF110">
        <f>$AF$7/$AE$7*AE110</f>
        <v>2.33197588506335</v>
      </c>
      <c r="AG110">
        <f>IF(J110=0,0,AF110/J110)</f>
        <v>0.8830231682620888</v>
      </c>
      <c r="AH110">
        <f>IF(AG110&lt;V110,AG110,0)</f>
        <v>0.8830231682620888</v>
      </c>
      <c r="AI110">
        <f>IF(AH110=0,$V110*$J110,0)</f>
        <v>0</v>
      </c>
      <c r="AJ110" s="15">
        <f>IF(AH110=0,0,AH110*$J110)</f>
        <v>2.33197588506335</v>
      </c>
      <c r="AK110">
        <f>$AK$7/$AJ$7*AJ110</f>
        <v>2.635526572953774</v>
      </c>
      <c r="AL110">
        <f>IF($J110=0,0,AK110/$J110)</f>
        <v>0.9979653046134931</v>
      </c>
      <c r="AM110">
        <f>IF(AL110&lt;$V110,AL110,0)</f>
        <v>0.9979653046134931</v>
      </c>
      <c r="AN110">
        <f>IF(AM110=0,$V110*$J110,0)</f>
        <v>0</v>
      </c>
      <c r="AO110" s="15">
        <f>IF(AM110=0,0,AM110*$J110)</f>
        <v>2.635526572953774</v>
      </c>
      <c r="AP110">
        <f>$AP$7/$AO$7*AO110</f>
        <v>2.6517282170589938</v>
      </c>
      <c r="AQ110">
        <f>IF($J110=0,0,AP110/$J110)</f>
        <v>1.0041001995755212</v>
      </c>
      <c r="AR110">
        <f>IF(AQ110&lt;$V110,AQ110,0)</f>
        <v>1.0041001995755212</v>
      </c>
      <c r="AS110">
        <f>IF(AR110=0,$V110*$J110,0)</f>
        <v>0</v>
      </c>
      <c r="AT110" s="15">
        <f>IF(AR110=0,0,AR110*$J110)</f>
        <v>2.6517282170589938</v>
      </c>
      <c r="AU110">
        <f>$AU$7/$AT$7*AT110</f>
        <v>2.651728217058993</v>
      </c>
      <c r="AV110">
        <f>IF($J110=0,0,AU110/$J110)</f>
        <v>1.0041001995755208</v>
      </c>
      <c r="AW110">
        <f>IF(AV110&lt;$V110,AV110,0)</f>
        <v>1.0041001995755208</v>
      </c>
      <c r="AX110">
        <f>IF(AW110=0,$V110*$J110,0)</f>
        <v>0</v>
      </c>
      <c r="AY110" s="15">
        <f>IF(AW110=0,0,AW110*$J110)</f>
        <v>2.6517282170589924</v>
      </c>
      <c r="AZ110">
        <f>$AZ$7/$AY$7*AY110</f>
        <v>2.6517282170589924</v>
      </c>
      <c r="BB110">
        <f t="shared" si="62"/>
        <v>0</v>
      </c>
      <c r="BC110" s="15">
        <f t="shared" si="63"/>
        <v>2.6517282170589924</v>
      </c>
      <c r="BD110" s="15"/>
    </row>
    <row r="111" spans="1:56" ht="12.75">
      <c r="A111" s="1" t="s">
        <v>266</v>
      </c>
      <c r="B111" s="11"/>
      <c r="C111" s="9">
        <v>0.004244</v>
      </c>
      <c r="D111" s="10">
        <v>0.07333111709705717</v>
      </c>
      <c r="E111" s="129">
        <f t="shared" si="64"/>
        <v>0.00021799761271682052</v>
      </c>
      <c r="F111" s="135">
        <f>G111*$D111</f>
        <v>30.439999999999998</v>
      </c>
      <c r="G111" s="139">
        <v>415.1034541</v>
      </c>
      <c r="H111" s="136">
        <f>I111*$D111</f>
        <v>0.9975965169883657</v>
      </c>
      <c r="I111" s="137">
        <v>13.604</v>
      </c>
      <c r="J111" s="137">
        <v>13.604</v>
      </c>
      <c r="K111" s="138">
        <f>J111-I111</f>
        <v>0</v>
      </c>
      <c r="L111" s="133"/>
      <c r="M111" s="133"/>
      <c r="N111" s="147"/>
      <c r="O111" s="133"/>
      <c r="P111" s="9"/>
      <c r="V111" s="10">
        <v>0.10999667564558575</v>
      </c>
      <c r="AT111" s="15"/>
      <c r="AY111" s="15"/>
      <c r="BB111">
        <f t="shared" si="62"/>
        <v>0</v>
      </c>
      <c r="BC111" s="15">
        <f t="shared" si="63"/>
        <v>0</v>
      </c>
      <c r="BD111" s="15"/>
    </row>
    <row r="112" spans="1:56" ht="12.75">
      <c r="A112" s="1" t="s">
        <v>78</v>
      </c>
      <c r="B112" s="4"/>
      <c r="C112" s="9">
        <v>0.040523</v>
      </c>
      <c r="D112" s="10"/>
      <c r="E112" s="129"/>
      <c r="F112" s="135">
        <f>SUM(F113)</f>
        <v>348.76800000000003</v>
      </c>
      <c r="G112" s="128"/>
      <c r="H112" s="136">
        <f>SUM(H113)</f>
        <v>9.30048</v>
      </c>
      <c r="I112" s="137"/>
      <c r="J112" s="137"/>
      <c r="K112" s="138">
        <f>J112-I112</f>
        <v>0</v>
      </c>
      <c r="L112" s="133"/>
      <c r="M112" s="133"/>
      <c r="N112" s="133"/>
      <c r="O112" s="133"/>
      <c r="P112" s="9"/>
      <c r="V112" s="10"/>
      <c r="BB112">
        <f t="shared" si="62"/>
        <v>0</v>
      </c>
      <c r="BC112" s="15">
        <f t="shared" si="63"/>
        <v>0</v>
      </c>
      <c r="BD112" s="15" t="s">
        <v>0</v>
      </c>
    </row>
    <row r="113" spans="1:56" ht="12.75">
      <c r="A113" s="1" t="s">
        <v>79</v>
      </c>
      <c r="B113" s="1" t="s">
        <v>149</v>
      </c>
      <c r="C113" s="9">
        <v>0.040523</v>
      </c>
      <c r="D113" s="10">
        <v>116.256</v>
      </c>
      <c r="E113" s="129">
        <f t="shared" si="64"/>
        <v>0.34560404187574745</v>
      </c>
      <c r="F113" s="135">
        <f>G113*$D113</f>
        <v>348.76800000000003</v>
      </c>
      <c r="G113" s="135">
        <v>3</v>
      </c>
      <c r="H113" s="136">
        <f>I113*$D113</f>
        <v>9.30048</v>
      </c>
      <c r="I113" s="137">
        <v>0.08</v>
      </c>
      <c r="J113" s="137">
        <v>0.08</v>
      </c>
      <c r="K113" s="138">
        <f>J113-I113</f>
        <v>0</v>
      </c>
      <c r="L113" s="133"/>
      <c r="M113" s="133"/>
      <c r="N113" s="133"/>
      <c r="O113" s="133"/>
      <c r="P113" s="9"/>
      <c r="T113" s="15" t="s">
        <v>0</v>
      </c>
      <c r="V113" s="10">
        <v>145.32</v>
      </c>
      <c r="AJ113" s="15" t="s">
        <v>0</v>
      </c>
      <c r="AK113" t="s">
        <v>0</v>
      </c>
      <c r="AZ113" t="s">
        <v>0</v>
      </c>
      <c r="BB113">
        <f t="shared" si="62"/>
        <v>0</v>
      </c>
      <c r="BC113" s="15" t="str">
        <f t="shared" si="63"/>
        <v> </v>
      </c>
      <c r="BD113" s="15"/>
    </row>
    <row r="114" spans="9:56" ht="12.75">
      <c r="I114" s="12"/>
      <c r="J114" s="73"/>
      <c r="BD114" s="15"/>
    </row>
    <row r="115" spans="4:56" ht="12.75">
      <c r="D115" s="13"/>
      <c r="E115" s="13"/>
      <c r="I115" s="69"/>
      <c r="J115" s="69"/>
      <c r="BD115" s="15"/>
    </row>
    <row r="116" spans="9:56" ht="12.75">
      <c r="I116" s="12"/>
      <c r="BD116" s="15"/>
    </row>
    <row r="117" ht="12.75">
      <c r="BD117" s="15"/>
    </row>
    <row r="118" ht="12.75">
      <c r="BD118" s="15"/>
    </row>
    <row r="119" ht="12.75">
      <c r="BD119" s="15"/>
    </row>
    <row r="120" spans="20:56" ht="12.75">
      <c r="T120"/>
      <c r="BD120" s="15"/>
    </row>
    <row r="121" spans="20:56" ht="12.75">
      <c r="T121"/>
      <c r="BD121" s="15"/>
    </row>
    <row r="122" spans="20:56" ht="12.75">
      <c r="T122"/>
      <c r="BD122" s="15"/>
    </row>
    <row r="123" spans="20:56" ht="12.75">
      <c r="T123"/>
      <c r="BD123" s="15"/>
    </row>
    <row r="124" spans="20:56" ht="12.75">
      <c r="T124"/>
      <c r="BD124" s="15"/>
    </row>
    <row r="125" spans="20:56" ht="12.75">
      <c r="T125"/>
      <c r="BD125" s="15"/>
    </row>
    <row r="126" spans="20:56" ht="12.75">
      <c r="T126"/>
      <c r="BD126" s="15"/>
    </row>
    <row r="127" spans="20:56" ht="12.75">
      <c r="T127"/>
      <c r="BD127" s="15"/>
    </row>
    <row r="128" spans="20:56" ht="12.75">
      <c r="T128"/>
      <c r="BD128" s="15"/>
    </row>
    <row r="129" spans="20:56" ht="12.75">
      <c r="T129"/>
      <c r="BD129" s="15"/>
    </row>
    <row r="130" spans="20:56" ht="12.75">
      <c r="T130"/>
      <c r="BD130" s="15"/>
    </row>
    <row r="131" spans="20:56" ht="12.75">
      <c r="T131"/>
      <c r="BD131" s="15"/>
    </row>
    <row r="132" spans="20:56" ht="12.75">
      <c r="T132"/>
      <c r="BD132" s="15"/>
    </row>
    <row r="133" spans="20:56" ht="12.75">
      <c r="T133"/>
      <c r="BD133" s="15"/>
    </row>
    <row r="134" spans="20:56" ht="12.75">
      <c r="T134"/>
      <c r="BD134" s="15"/>
    </row>
    <row r="135" spans="20:56" ht="12.75">
      <c r="T135"/>
      <c r="BD135" s="15"/>
    </row>
    <row r="136" spans="20:56" ht="12.75">
      <c r="T136"/>
      <c r="BD136" s="15"/>
    </row>
    <row r="137" ht="12.75">
      <c r="T137"/>
    </row>
    <row r="138" ht="12.75">
      <c r="T138"/>
    </row>
    <row r="139" ht="12.75">
      <c r="T139"/>
    </row>
    <row r="140" ht="12.75">
      <c r="T140"/>
    </row>
    <row r="141" ht="12.75">
      <c r="T141"/>
    </row>
    <row r="142" ht="12.75">
      <c r="T142"/>
    </row>
    <row r="143" ht="12.75">
      <c r="T143"/>
    </row>
    <row r="144" ht="12.75">
      <c r="T144"/>
    </row>
    <row r="177" ht="12.75">
      <c r="T177"/>
    </row>
    <row r="178" ht="12.75">
      <c r="T178"/>
    </row>
    <row r="179" ht="12.75">
      <c r="T179"/>
    </row>
    <row r="180" ht="12.75">
      <c r="T180"/>
    </row>
    <row r="181" ht="12.75">
      <c r="T181"/>
    </row>
    <row r="182" ht="12.75">
      <c r="T182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8.57421875" style="0" customWidth="1"/>
    <col min="2" max="2" width="31.57421875" style="0" customWidth="1"/>
    <col min="3" max="3" width="7.57421875" style="0" bestFit="1" customWidth="1"/>
    <col min="4" max="4" width="8.8515625" style="0" customWidth="1"/>
    <col min="5" max="15" width="7.57421875" style="0" bestFit="1" customWidth="1"/>
  </cols>
  <sheetData>
    <row r="1" spans="1:2" ht="12.75">
      <c r="A1" s="230" t="s">
        <v>306</v>
      </c>
      <c r="B1" s="230"/>
    </row>
    <row r="3" spans="1:15" ht="12.75">
      <c r="A3" s="176" t="s">
        <v>247</v>
      </c>
      <c r="B3" s="49" t="s">
        <v>248</v>
      </c>
      <c r="C3" s="76">
        <v>39052</v>
      </c>
      <c r="D3" s="76">
        <v>39083</v>
      </c>
      <c r="E3" s="76">
        <v>39114</v>
      </c>
      <c r="F3" s="76">
        <v>39142</v>
      </c>
      <c r="G3" s="76">
        <v>39173</v>
      </c>
      <c r="H3" s="76">
        <v>39203</v>
      </c>
      <c r="I3" s="76">
        <v>39234</v>
      </c>
      <c r="J3" s="76">
        <v>39264</v>
      </c>
      <c r="K3" s="76">
        <v>39295</v>
      </c>
      <c r="L3" s="76">
        <v>39326</v>
      </c>
      <c r="M3" s="76">
        <v>39356</v>
      </c>
      <c r="N3" s="76">
        <v>39387</v>
      </c>
      <c r="O3" s="76">
        <v>39417</v>
      </c>
    </row>
    <row r="4" ht="12.75">
      <c r="B4" t="s">
        <v>0</v>
      </c>
    </row>
    <row r="6" spans="1:2" ht="12.75">
      <c r="A6">
        <v>10000</v>
      </c>
      <c r="B6" s="68" t="s">
        <v>1</v>
      </c>
    </row>
    <row r="7" spans="1:2" ht="12.75">
      <c r="A7">
        <v>10100</v>
      </c>
      <c r="B7" s="68" t="s">
        <v>168</v>
      </c>
    </row>
    <row r="8" spans="1:14" ht="12.75">
      <c r="A8">
        <v>10101</v>
      </c>
      <c r="B8" s="1" t="s">
        <v>3</v>
      </c>
      <c r="C8" s="226">
        <v>0.6317737973588701</v>
      </c>
      <c r="D8" s="229">
        <v>0.62675785509027</v>
      </c>
      <c r="E8" s="226">
        <v>0.64107455006541</v>
      </c>
      <c r="F8" s="226">
        <v>0.66806285360723</v>
      </c>
      <c r="G8" s="226">
        <v>0.67469531038044</v>
      </c>
      <c r="H8" s="226">
        <v>0.67611967257362</v>
      </c>
      <c r="I8" s="19">
        <v>0.6762900147664</v>
      </c>
      <c r="J8" s="226">
        <v>0.70155691451776</v>
      </c>
      <c r="K8" s="226"/>
      <c r="L8" s="226"/>
      <c r="M8" s="226"/>
      <c r="N8" s="226"/>
    </row>
    <row r="9" spans="1:14" ht="12.75">
      <c r="A9">
        <v>10103</v>
      </c>
      <c r="B9" s="1" t="s">
        <v>4</v>
      </c>
      <c r="C9" s="226">
        <v>0.631195141393604</v>
      </c>
      <c r="D9" s="229">
        <v>0.6315312862559888</v>
      </c>
      <c r="E9" s="226">
        <v>0.6339160948103371</v>
      </c>
      <c r="F9" s="226">
        <v>0.6412196329577842</v>
      </c>
      <c r="G9" s="226">
        <v>0.6442291636035874</v>
      </c>
      <c r="H9" s="226">
        <v>0.6542516764113872</v>
      </c>
      <c r="I9" s="19">
        <v>0.6572061622424007</v>
      </c>
      <c r="J9" s="226">
        <v>0.6614777161915475</v>
      </c>
      <c r="K9" s="226"/>
      <c r="L9" s="226"/>
      <c r="M9" s="226"/>
      <c r="N9" s="226"/>
    </row>
    <row r="10" spans="1:14" ht="12.75">
      <c r="A10">
        <v>10106</v>
      </c>
      <c r="B10" s="1" t="s">
        <v>5</v>
      </c>
      <c r="C10" s="226">
        <v>1.51232105854347</v>
      </c>
      <c r="D10" s="229">
        <v>1.51663837564664</v>
      </c>
      <c r="E10" s="226">
        <v>1.49000943754867</v>
      </c>
      <c r="F10" s="226">
        <v>1.50835641702987</v>
      </c>
      <c r="G10" s="226">
        <v>1.49564105369139</v>
      </c>
      <c r="H10" s="226">
        <v>1.48585279739197</v>
      </c>
      <c r="I10" s="19">
        <v>1.49704198148629</v>
      </c>
      <c r="J10" s="226">
        <v>1.52216395738496</v>
      </c>
      <c r="K10" s="226"/>
      <c r="L10" s="226"/>
      <c r="M10" s="226"/>
      <c r="N10" s="226"/>
    </row>
    <row r="11" spans="1:14" ht="12.75">
      <c r="A11">
        <v>10200</v>
      </c>
      <c r="B11" s="68" t="s">
        <v>250</v>
      </c>
      <c r="C11" s="226"/>
      <c r="D11" s="229"/>
      <c r="E11" s="226"/>
      <c r="F11" s="226"/>
      <c r="G11" s="226"/>
      <c r="H11" s="226"/>
      <c r="I11" s="19"/>
      <c r="J11" s="226"/>
      <c r="K11" s="226"/>
      <c r="L11" s="226"/>
      <c r="M11" s="226"/>
      <c r="N11" s="226"/>
    </row>
    <row r="12" spans="1:14" ht="12.75">
      <c r="A12">
        <v>10201</v>
      </c>
      <c r="B12" s="1" t="s">
        <v>7</v>
      </c>
      <c r="C12" s="226">
        <v>2.37342256794564</v>
      </c>
      <c r="D12" s="229">
        <v>2.36897708400998</v>
      </c>
      <c r="E12" s="226">
        <v>2.35537028836962</v>
      </c>
      <c r="F12" s="226">
        <v>2.3817187904172</v>
      </c>
      <c r="G12" s="226">
        <v>2.3556390466728</v>
      </c>
      <c r="H12" s="226">
        <v>2.37850381807782</v>
      </c>
      <c r="I12" s="19">
        <v>2.4026728536078</v>
      </c>
      <c r="J12" s="226">
        <v>2.38334570865523</v>
      </c>
      <c r="K12" s="226"/>
      <c r="L12" s="226"/>
      <c r="M12" s="226"/>
      <c r="N12" s="226"/>
    </row>
    <row r="13" spans="1:14" ht="12.75">
      <c r="A13">
        <v>10202</v>
      </c>
      <c r="B13" s="1" t="s">
        <v>8</v>
      </c>
      <c r="C13" s="226">
        <v>3.5825716949798</v>
      </c>
      <c r="D13" s="229">
        <v>3.56535303477476</v>
      </c>
      <c r="E13" s="226">
        <v>3.63022460656404</v>
      </c>
      <c r="F13" s="226">
        <v>3.63364655132776</v>
      </c>
      <c r="G13" s="226">
        <v>3.61314228045749</v>
      </c>
      <c r="H13" s="226">
        <v>3.64804966705373</v>
      </c>
      <c r="I13" s="19">
        <v>3.64821011488715</v>
      </c>
      <c r="J13" s="226">
        <v>3.68865029776863</v>
      </c>
      <c r="K13" s="226"/>
      <c r="L13" s="226"/>
      <c r="M13" s="226"/>
      <c r="N13" s="226"/>
    </row>
    <row r="14" spans="1:14" ht="12.75">
      <c r="A14">
        <v>10204</v>
      </c>
      <c r="B14" s="1" t="s">
        <v>9</v>
      </c>
      <c r="C14" s="226">
        <v>2.12696890713095</v>
      </c>
      <c r="D14" s="229">
        <v>2.13109526712469</v>
      </c>
      <c r="E14" s="226">
        <v>2.11117105467396</v>
      </c>
      <c r="F14" s="226">
        <v>2.10947213832188</v>
      </c>
      <c r="G14" s="226">
        <v>2.0943157499242</v>
      </c>
      <c r="H14" s="226">
        <v>2.10815699335875</v>
      </c>
      <c r="I14" s="19">
        <v>2.12158059959849</v>
      </c>
      <c r="J14" s="226">
        <v>2.23444709710211</v>
      </c>
      <c r="K14" s="226"/>
      <c r="L14" s="226"/>
      <c r="M14" s="226"/>
      <c r="N14" s="226"/>
    </row>
    <row r="15" spans="1:14" ht="12.75">
      <c r="A15">
        <v>10300</v>
      </c>
      <c r="B15" s="68" t="s">
        <v>251</v>
      </c>
      <c r="C15" s="226"/>
      <c r="D15" s="229"/>
      <c r="E15" s="226"/>
      <c r="F15" s="226"/>
      <c r="G15" s="226"/>
      <c r="H15" s="226"/>
      <c r="I15" s="19"/>
      <c r="J15" s="226"/>
      <c r="K15" s="226"/>
      <c r="L15" s="226"/>
      <c r="M15" s="226"/>
      <c r="N15" s="226"/>
    </row>
    <row r="16" spans="1:14" ht="12.75">
      <c r="A16">
        <v>10301</v>
      </c>
      <c r="B16" s="1" t="s">
        <v>11</v>
      </c>
      <c r="C16" s="226">
        <v>7.19597833106862</v>
      </c>
      <c r="D16" s="229">
        <v>7.25843467353968</v>
      </c>
      <c r="E16" s="226">
        <v>7.54870101405584</v>
      </c>
      <c r="F16" s="226">
        <v>7.91770184898845</v>
      </c>
      <c r="G16" s="226">
        <v>7.75167466236111</v>
      </c>
      <c r="H16" s="226">
        <v>7.60598169583965</v>
      </c>
      <c r="I16" s="19">
        <v>7.25885637928298</v>
      </c>
      <c r="J16" s="226">
        <v>6.86646474135843</v>
      </c>
      <c r="K16" s="226"/>
      <c r="L16" s="226"/>
      <c r="M16" s="226"/>
      <c r="N16" s="226"/>
    </row>
    <row r="17" spans="1:14" ht="12.75">
      <c r="A17">
        <v>10303</v>
      </c>
      <c r="B17" s="74" t="s">
        <v>260</v>
      </c>
      <c r="C17" s="226">
        <v>0.7755061012923145</v>
      </c>
      <c r="D17" s="229">
        <v>0.7780645700236236</v>
      </c>
      <c r="E17" s="226">
        <v>0.7759978477782262</v>
      </c>
      <c r="F17" s="226">
        <v>0.7761514997051265</v>
      </c>
      <c r="G17" s="226">
        <v>0.7777734480674411</v>
      </c>
      <c r="H17" s="226">
        <v>0.7775007852755166</v>
      </c>
      <c r="I17" s="19">
        <v>0.8010587059918243</v>
      </c>
      <c r="J17" s="226">
        <v>0.8127992204016404</v>
      </c>
      <c r="K17" s="226"/>
      <c r="L17" s="226"/>
      <c r="M17" s="226"/>
      <c r="N17" s="226"/>
    </row>
    <row r="18" spans="1:14" ht="12.75">
      <c r="A18">
        <v>10400</v>
      </c>
      <c r="B18" s="68" t="s">
        <v>174</v>
      </c>
      <c r="C18" s="226"/>
      <c r="D18" s="229"/>
      <c r="E18" s="226"/>
      <c r="F18" s="226"/>
      <c r="G18" s="226"/>
      <c r="H18" s="226"/>
      <c r="I18" s="19"/>
      <c r="J18" s="226"/>
      <c r="K18" s="226"/>
      <c r="L18" s="226"/>
      <c r="M18" s="226"/>
      <c r="N18" s="226"/>
    </row>
    <row r="19" spans="1:14" ht="12.75">
      <c r="A19">
        <v>10401</v>
      </c>
      <c r="B19" s="1" t="s">
        <v>13</v>
      </c>
      <c r="C19" s="226">
        <v>1.3316362738701</v>
      </c>
      <c r="D19" s="229">
        <v>1.33704995710206</v>
      </c>
      <c r="E19" s="226">
        <v>1.33348689950298</v>
      </c>
      <c r="F19" s="226">
        <v>1.3526928318844</v>
      </c>
      <c r="G19" s="226">
        <v>1.35559884817736</v>
      </c>
      <c r="H19" s="226">
        <v>1.35218644565747</v>
      </c>
      <c r="I19" s="19">
        <v>1.35577244169655</v>
      </c>
      <c r="J19" s="226">
        <v>1.3797998696189997</v>
      </c>
      <c r="K19" s="226"/>
      <c r="L19" s="226"/>
      <c r="M19" s="226"/>
      <c r="N19" s="226"/>
    </row>
    <row r="20" spans="1:14" ht="12.75">
      <c r="A20">
        <v>10403</v>
      </c>
      <c r="B20" s="1" t="s">
        <v>14</v>
      </c>
      <c r="C20" s="227" t="s">
        <v>360</v>
      </c>
      <c r="D20" s="227" t="s">
        <v>360</v>
      </c>
      <c r="E20" s="227" t="s">
        <v>360</v>
      </c>
      <c r="F20" s="227" t="s">
        <v>360</v>
      </c>
      <c r="G20" s="227" t="s">
        <v>360</v>
      </c>
      <c r="H20" s="227" t="s">
        <v>360</v>
      </c>
      <c r="I20" s="227" t="s">
        <v>360</v>
      </c>
      <c r="J20" s="227" t="s">
        <v>360</v>
      </c>
      <c r="K20" s="227"/>
      <c r="L20" s="227"/>
      <c r="M20" s="227"/>
      <c r="N20" s="227"/>
    </row>
    <row r="21" spans="1:14" ht="12.75">
      <c r="A21">
        <v>10500</v>
      </c>
      <c r="B21" s="68" t="s">
        <v>252</v>
      </c>
      <c r="C21" s="226"/>
      <c r="D21" s="229"/>
      <c r="E21" s="226"/>
      <c r="F21" s="226"/>
      <c r="G21" s="226"/>
      <c r="H21" s="226"/>
      <c r="I21" s="19"/>
      <c r="J21" s="226"/>
      <c r="K21" s="226"/>
      <c r="L21" s="226"/>
      <c r="M21" s="226"/>
      <c r="N21" s="226"/>
    </row>
    <row r="22" spans="1:14" ht="12.75">
      <c r="A22">
        <v>10501</v>
      </c>
      <c r="B22" s="1" t="s">
        <v>16</v>
      </c>
      <c r="C22" s="226">
        <v>1.25396842260631</v>
      </c>
      <c r="D22" s="229">
        <v>1.24751934865318</v>
      </c>
      <c r="E22" s="226">
        <v>1.2375447202597099</v>
      </c>
      <c r="F22" s="226">
        <v>1.25086190259601</v>
      </c>
      <c r="G22" s="226">
        <v>1.2551406355408</v>
      </c>
      <c r="H22" s="226">
        <v>1.26466166216542</v>
      </c>
      <c r="I22" s="19">
        <v>1.24491862878838</v>
      </c>
      <c r="J22" s="226">
        <v>1.23999097285613</v>
      </c>
      <c r="K22" s="226"/>
      <c r="L22" s="226"/>
      <c r="M22" s="226"/>
      <c r="N22" s="226"/>
    </row>
    <row r="23" spans="1:14" ht="12.75">
      <c r="A23">
        <v>10502</v>
      </c>
      <c r="B23" s="1" t="s">
        <v>17</v>
      </c>
      <c r="C23" s="226">
        <v>0.59091255109626</v>
      </c>
      <c r="D23" s="229">
        <v>0.59066512457744</v>
      </c>
      <c r="E23" s="226">
        <v>0.58860365241465</v>
      </c>
      <c r="F23" s="226">
        <v>0.5878113029199</v>
      </c>
      <c r="G23" s="226">
        <v>0.58915302999917</v>
      </c>
      <c r="H23" s="226">
        <v>0.58621456887069</v>
      </c>
      <c r="I23" s="19">
        <v>0.5876661651945801</v>
      </c>
      <c r="J23" s="226">
        <v>0.59574309702897</v>
      </c>
      <c r="K23" s="226"/>
      <c r="L23" s="226"/>
      <c r="M23" s="226"/>
      <c r="N23" s="226"/>
    </row>
    <row r="24" spans="1:14" ht="12.75">
      <c r="A24">
        <v>10504</v>
      </c>
      <c r="B24" s="1" t="s">
        <v>18</v>
      </c>
      <c r="C24" s="226">
        <v>2.99743147732229</v>
      </c>
      <c r="D24" s="229">
        <v>2.8440104976763</v>
      </c>
      <c r="E24" s="226">
        <v>2.74726632014509</v>
      </c>
      <c r="F24" s="226">
        <v>2.78303420178708</v>
      </c>
      <c r="G24" s="226">
        <v>2.99976734469314</v>
      </c>
      <c r="H24" s="226">
        <v>2.96892152206636</v>
      </c>
      <c r="I24" s="19">
        <v>2.8825132585139</v>
      </c>
      <c r="J24" s="226">
        <v>2.9267451617048</v>
      </c>
      <c r="K24" s="226"/>
      <c r="L24" s="226"/>
      <c r="M24" s="226"/>
      <c r="N24" s="226"/>
    </row>
    <row r="25" spans="1:14" ht="12.75">
      <c r="A25">
        <v>10600</v>
      </c>
      <c r="B25" s="68" t="s">
        <v>178</v>
      </c>
      <c r="C25" s="226"/>
      <c r="D25" s="229"/>
      <c r="E25" s="226"/>
      <c r="F25" s="226"/>
      <c r="G25" s="226"/>
      <c r="H25" s="226"/>
      <c r="I25" s="19"/>
      <c r="J25" s="226"/>
      <c r="K25" s="226"/>
      <c r="L25" s="226"/>
      <c r="M25" s="226"/>
      <c r="N25" s="226"/>
    </row>
    <row r="26" spans="1:14" ht="12.75">
      <c r="A26">
        <v>10601</v>
      </c>
      <c r="B26" s="1" t="s">
        <v>20</v>
      </c>
      <c r="C26" s="226">
        <v>2.00718730138819</v>
      </c>
      <c r="D26" s="229">
        <v>2.22440520112829</v>
      </c>
      <c r="E26" s="226">
        <v>2.3224358364638302</v>
      </c>
      <c r="F26" s="226">
        <v>2.48587564387435</v>
      </c>
      <c r="G26" s="226">
        <v>2.52201319713044</v>
      </c>
      <c r="H26" s="226">
        <v>2.21385578729887</v>
      </c>
      <c r="I26" s="19">
        <v>2.19171926251377</v>
      </c>
      <c r="J26" s="226">
        <v>2.29807303119723</v>
      </c>
      <c r="K26" s="226"/>
      <c r="L26" s="226"/>
      <c r="M26" s="226"/>
      <c r="N26" s="226"/>
    </row>
    <row r="27" spans="1:14" ht="12.75">
      <c r="A27">
        <v>10602</v>
      </c>
      <c r="B27" s="1" t="s">
        <v>21</v>
      </c>
      <c r="C27" s="226">
        <v>0.82110660962468</v>
      </c>
      <c r="D27" s="229">
        <v>0.84882513051706</v>
      </c>
      <c r="E27" s="226">
        <v>0.80510166998159</v>
      </c>
      <c r="F27" s="226">
        <v>0.7762701128339</v>
      </c>
      <c r="G27" s="226">
        <v>0.75794954403938</v>
      </c>
      <c r="H27" s="226">
        <v>0.76257599073322</v>
      </c>
      <c r="I27" s="19">
        <v>0.75043624038812</v>
      </c>
      <c r="J27" s="226">
        <v>0.76916260916411</v>
      </c>
      <c r="K27" s="226"/>
      <c r="L27" s="226"/>
      <c r="M27" s="226"/>
      <c r="N27" s="226"/>
    </row>
    <row r="28" spans="1:14" ht="12.75">
      <c r="A28">
        <v>10603</v>
      </c>
      <c r="B28" s="1" t="s">
        <v>22</v>
      </c>
      <c r="C28" s="226">
        <v>0.58238797634792</v>
      </c>
      <c r="D28" s="229">
        <v>0.5550218308281</v>
      </c>
      <c r="E28" s="226">
        <v>0.55924548457515</v>
      </c>
      <c r="F28" s="226">
        <v>0.54939271234694</v>
      </c>
      <c r="G28" s="226">
        <v>0.54516493286443</v>
      </c>
      <c r="H28" s="226">
        <v>0.61101008344836</v>
      </c>
      <c r="I28" s="19">
        <v>0.67597016940925</v>
      </c>
      <c r="J28" s="226">
        <v>0.6891902186282801</v>
      </c>
      <c r="K28" s="226"/>
      <c r="L28" s="226"/>
      <c r="M28" s="226"/>
      <c r="N28" s="226"/>
    </row>
    <row r="29" spans="1:14" ht="12.75">
      <c r="A29">
        <v>10606</v>
      </c>
      <c r="B29" s="1" t="s">
        <v>23</v>
      </c>
      <c r="C29" s="226">
        <v>1.29089228651186</v>
      </c>
      <c r="D29" s="229">
        <v>1.21298465348271</v>
      </c>
      <c r="E29" s="226">
        <v>1.1932932400165</v>
      </c>
      <c r="F29" s="226">
        <v>1.07539299228095</v>
      </c>
      <c r="G29" s="226">
        <v>1.06675542657589</v>
      </c>
      <c r="H29" s="226">
        <v>1.08362150922317</v>
      </c>
      <c r="I29" s="19">
        <v>1.05510556454477</v>
      </c>
      <c r="J29" s="226">
        <v>1.09236159681541</v>
      </c>
      <c r="K29" s="226"/>
      <c r="L29" s="226"/>
      <c r="M29" s="226"/>
      <c r="N29" s="226"/>
    </row>
    <row r="30" spans="1:14" ht="12.75">
      <c r="A30">
        <v>10607</v>
      </c>
      <c r="B30" s="1" t="s">
        <v>232</v>
      </c>
      <c r="C30" s="226">
        <v>2.05200013256387</v>
      </c>
      <c r="D30" s="229">
        <v>2.04987618089875</v>
      </c>
      <c r="E30" s="226">
        <v>2.01390866654765</v>
      </c>
      <c r="F30" s="226">
        <v>2.02026065010831</v>
      </c>
      <c r="G30" s="226">
        <v>2.08667632051206</v>
      </c>
      <c r="H30" s="226">
        <v>1.99782753766992</v>
      </c>
      <c r="I30" s="19">
        <v>1.98944723853609</v>
      </c>
      <c r="J30" s="226">
        <v>2.02729604717933</v>
      </c>
      <c r="K30" s="226"/>
      <c r="L30" s="226"/>
      <c r="M30" s="226"/>
      <c r="N30" s="226"/>
    </row>
    <row r="31" spans="1:14" ht="12.75">
      <c r="A31">
        <v>10608</v>
      </c>
      <c r="B31" s="1" t="s">
        <v>24</v>
      </c>
      <c r="C31" s="226">
        <v>1.88193223392845</v>
      </c>
      <c r="D31" s="229">
        <v>1.94399889534792</v>
      </c>
      <c r="E31" s="226">
        <v>2.06615501785202</v>
      </c>
      <c r="F31" s="226">
        <v>2.01180301774808</v>
      </c>
      <c r="G31" s="226">
        <v>2.00013900072763</v>
      </c>
      <c r="H31" s="226">
        <v>1.90070352979485</v>
      </c>
      <c r="I31" s="19">
        <v>1.90117277096963</v>
      </c>
      <c r="J31" s="226">
        <v>1.88616780453175</v>
      </c>
      <c r="K31" s="226"/>
      <c r="L31" s="226"/>
      <c r="M31" s="226"/>
      <c r="N31" s="226"/>
    </row>
    <row r="32" spans="1:14" ht="12.75">
      <c r="A32">
        <v>10611</v>
      </c>
      <c r="B32" s="1" t="s">
        <v>233</v>
      </c>
      <c r="C32" s="226">
        <v>0.8962344667751</v>
      </c>
      <c r="D32" s="229">
        <v>0.9157540926137501</v>
      </c>
      <c r="E32" s="226">
        <v>0.89966576451622</v>
      </c>
      <c r="F32" s="226">
        <v>0.8535396240418799</v>
      </c>
      <c r="G32" s="226">
        <v>0.8344506870253</v>
      </c>
      <c r="H32" s="226">
        <v>0.88306521738685</v>
      </c>
      <c r="I32" s="19">
        <v>1.17860272386938</v>
      </c>
      <c r="J32" s="226">
        <v>1.15155517887726</v>
      </c>
      <c r="K32" s="226"/>
      <c r="L32" s="226"/>
      <c r="M32" s="226"/>
      <c r="N32" s="226"/>
    </row>
    <row r="33" spans="1:14" ht="12.75">
      <c r="A33">
        <v>10700</v>
      </c>
      <c r="B33" s="68" t="s">
        <v>180</v>
      </c>
      <c r="C33" s="226"/>
      <c r="D33" s="229"/>
      <c r="E33" s="226"/>
      <c r="F33" s="226"/>
      <c r="G33" s="226"/>
      <c r="H33" s="226"/>
      <c r="I33" s="19"/>
      <c r="J33" s="226"/>
      <c r="K33" s="226"/>
      <c r="L33" s="226"/>
      <c r="M33" s="226"/>
      <c r="N33" s="226"/>
    </row>
    <row r="34" spans="1:14" ht="12.75">
      <c r="A34">
        <v>10701</v>
      </c>
      <c r="B34" s="1" t="s">
        <v>26</v>
      </c>
      <c r="C34" s="226">
        <v>0.54453709918162</v>
      </c>
      <c r="D34" s="229">
        <v>0.51087178797363</v>
      </c>
      <c r="E34" s="226">
        <v>0.47144325702172</v>
      </c>
      <c r="F34" s="226">
        <v>0.44391438966673</v>
      </c>
      <c r="G34" s="226">
        <v>0.43343951443220996</v>
      </c>
      <c r="H34" s="226">
        <v>0.42525527746852</v>
      </c>
      <c r="I34" s="19">
        <v>0.44431497729386</v>
      </c>
      <c r="J34" s="226">
        <v>0.4337301658112</v>
      </c>
      <c r="K34" s="226"/>
      <c r="L34" s="226"/>
      <c r="M34" s="226"/>
      <c r="N34" s="226"/>
    </row>
    <row r="35" spans="1:14" ht="12.75">
      <c r="A35">
        <v>10703</v>
      </c>
      <c r="B35" s="1" t="s">
        <v>27</v>
      </c>
      <c r="C35" s="226">
        <v>0.39205880855617</v>
      </c>
      <c r="D35" s="229">
        <v>0.40261272342358</v>
      </c>
      <c r="E35" s="226">
        <v>0.37879823652605</v>
      </c>
      <c r="F35" s="226">
        <v>0.38106214195760996</v>
      </c>
      <c r="G35" s="226">
        <v>0.37363471538267</v>
      </c>
      <c r="H35" s="226">
        <v>0.35105211784788</v>
      </c>
      <c r="I35" s="19">
        <v>0.34807550896035</v>
      </c>
      <c r="J35" s="226">
        <v>0.35084249626652</v>
      </c>
      <c r="K35" s="226"/>
      <c r="L35" s="226"/>
      <c r="M35" s="226"/>
      <c r="N35" s="226"/>
    </row>
    <row r="36" spans="1:14" ht="12.75">
      <c r="A36">
        <v>10800</v>
      </c>
      <c r="B36" s="68" t="s">
        <v>182</v>
      </c>
      <c r="C36" s="226"/>
      <c r="D36" s="229"/>
      <c r="E36" s="226"/>
      <c r="F36" s="226"/>
      <c r="G36" s="226"/>
      <c r="H36" s="226"/>
      <c r="I36" s="19"/>
      <c r="J36" s="226"/>
      <c r="K36" s="226"/>
      <c r="L36" s="226"/>
      <c r="M36" s="226"/>
      <c r="N36" s="226"/>
    </row>
    <row r="37" spans="1:14" ht="12.75">
      <c r="A37">
        <v>10803</v>
      </c>
      <c r="B37" s="1" t="s">
        <v>29</v>
      </c>
      <c r="C37" s="226">
        <v>0.9609566531225299</v>
      </c>
      <c r="D37" s="229">
        <v>0.96707568193099</v>
      </c>
      <c r="E37" s="226">
        <v>0.97103581857377</v>
      </c>
      <c r="F37" s="226">
        <v>0.94597061735136</v>
      </c>
      <c r="G37" s="226">
        <v>1.00145728440238</v>
      </c>
      <c r="H37" s="226">
        <v>0.99574958366487</v>
      </c>
      <c r="I37" s="19">
        <v>1.0157642788264</v>
      </c>
      <c r="J37" s="226">
        <v>1.00895024829979</v>
      </c>
      <c r="K37" s="226"/>
      <c r="L37" s="226"/>
      <c r="M37" s="226"/>
      <c r="N37" s="226"/>
    </row>
    <row r="38" spans="1:14" ht="12.75">
      <c r="A38">
        <v>10804</v>
      </c>
      <c r="B38" s="74" t="s">
        <v>261</v>
      </c>
      <c r="C38" s="227" t="s">
        <v>361</v>
      </c>
      <c r="D38" s="227" t="s">
        <v>361</v>
      </c>
      <c r="E38" s="227" t="s">
        <v>361</v>
      </c>
      <c r="F38" s="227" t="s">
        <v>361</v>
      </c>
      <c r="G38" s="227" t="s">
        <v>361</v>
      </c>
      <c r="H38" s="227" t="s">
        <v>361</v>
      </c>
      <c r="I38" s="227" t="s">
        <v>361</v>
      </c>
      <c r="J38" s="227" t="s">
        <v>361</v>
      </c>
      <c r="K38" s="227"/>
      <c r="L38" s="227"/>
      <c r="M38" s="227"/>
      <c r="N38" s="227"/>
    </row>
    <row r="39" spans="1:14" ht="12.75">
      <c r="A39">
        <v>10805</v>
      </c>
      <c r="B39" s="1" t="s">
        <v>234</v>
      </c>
      <c r="C39" s="226">
        <v>2.10438046296296</v>
      </c>
      <c r="D39" s="229">
        <v>2.04538620040039</v>
      </c>
      <c r="E39" s="226">
        <v>1.99596524224013</v>
      </c>
      <c r="F39" s="226">
        <v>1.99207740050956</v>
      </c>
      <c r="G39" s="226">
        <v>2.03030918485569</v>
      </c>
      <c r="H39" s="226">
        <v>1.97551787304131</v>
      </c>
      <c r="I39" s="19">
        <v>1.9393462762268</v>
      </c>
      <c r="J39" s="226">
        <v>1.90608829304457</v>
      </c>
      <c r="K39" s="226"/>
      <c r="L39" s="226"/>
      <c r="M39" s="226"/>
      <c r="N39" s="226"/>
    </row>
    <row r="40" spans="1:14" ht="12.75">
      <c r="A40">
        <v>10900</v>
      </c>
      <c r="B40" s="68" t="s">
        <v>184</v>
      </c>
      <c r="C40" s="226"/>
      <c r="D40" s="229"/>
      <c r="E40" s="226"/>
      <c r="F40" s="226"/>
      <c r="G40" s="226"/>
      <c r="H40" s="226"/>
      <c r="I40" s="19"/>
      <c r="J40" s="226"/>
      <c r="K40" s="226"/>
      <c r="L40" s="226"/>
      <c r="M40" s="226"/>
      <c r="N40" s="226"/>
    </row>
    <row r="41" spans="1:14" ht="12.75">
      <c r="A41">
        <v>10901</v>
      </c>
      <c r="B41" s="1" t="s">
        <v>31</v>
      </c>
      <c r="C41" s="226">
        <v>1.13740358807796</v>
      </c>
      <c r="D41" s="229">
        <v>1.05927124246938</v>
      </c>
      <c r="E41" s="226">
        <v>1.0852560264388</v>
      </c>
      <c r="F41" s="226">
        <v>1.15902339867512</v>
      </c>
      <c r="G41" s="226">
        <v>1.2493652610125</v>
      </c>
      <c r="H41" s="226">
        <v>1.30690723172289</v>
      </c>
      <c r="I41" s="19">
        <v>1.38450888778004</v>
      </c>
      <c r="J41" s="226">
        <v>1.34820013319379</v>
      </c>
      <c r="K41" s="226"/>
      <c r="L41" s="226"/>
      <c r="M41" s="226"/>
      <c r="N41" s="226"/>
    </row>
    <row r="42" spans="1:14" ht="12.75">
      <c r="A42">
        <v>10903</v>
      </c>
      <c r="B42" s="1" t="s">
        <v>228</v>
      </c>
      <c r="C42" s="226">
        <v>0.74990342432738</v>
      </c>
      <c r="D42" s="229">
        <v>0.69839502232071</v>
      </c>
      <c r="E42" s="226">
        <v>0.64408485017215</v>
      </c>
      <c r="F42" s="226">
        <v>0.62583367724049</v>
      </c>
      <c r="G42" s="226">
        <v>0.59843334911106</v>
      </c>
      <c r="H42" s="226">
        <v>0.61614544669522</v>
      </c>
      <c r="I42" s="19">
        <v>0.70274209387588</v>
      </c>
      <c r="J42" s="226">
        <v>0.77210378774516</v>
      </c>
      <c r="K42" s="226"/>
      <c r="L42" s="226"/>
      <c r="M42" s="226"/>
      <c r="N42" s="226"/>
    </row>
    <row r="43" spans="1:14" ht="12.75">
      <c r="A43">
        <v>10906</v>
      </c>
      <c r="B43" s="74" t="s">
        <v>269</v>
      </c>
      <c r="C43" s="226">
        <v>0.32974901102846</v>
      </c>
      <c r="D43" s="229">
        <v>0.43625132827125007</v>
      </c>
      <c r="E43" s="226">
        <v>0.50917945553596</v>
      </c>
      <c r="F43" s="226">
        <v>0.4306526307474</v>
      </c>
      <c r="G43" s="226">
        <v>0.3628186979351499</v>
      </c>
      <c r="H43" s="226">
        <v>0.33166967184674</v>
      </c>
      <c r="I43" s="19">
        <v>0.34879512568933</v>
      </c>
      <c r="J43" s="226">
        <v>0.37070022022429</v>
      </c>
      <c r="K43" s="226"/>
      <c r="L43" s="226"/>
      <c r="M43" s="226"/>
      <c r="N43" s="226"/>
    </row>
    <row r="44" spans="1:14" ht="12.75">
      <c r="A44">
        <v>10907</v>
      </c>
      <c r="B44" s="1" t="s">
        <v>33</v>
      </c>
      <c r="C44" s="226">
        <v>1.00791919863385</v>
      </c>
      <c r="D44" s="229">
        <v>0.98150305311061</v>
      </c>
      <c r="E44" s="226">
        <v>1.00676110579831</v>
      </c>
      <c r="F44" s="226">
        <v>1.02369120788247</v>
      </c>
      <c r="G44" s="226">
        <v>1.02539389427523</v>
      </c>
      <c r="H44" s="226">
        <v>0.98851065943754</v>
      </c>
      <c r="I44" s="19">
        <v>0.9850351315216099</v>
      </c>
      <c r="J44" s="226">
        <v>0.97214257775367</v>
      </c>
      <c r="K44" s="226"/>
      <c r="L44" s="226"/>
      <c r="M44" s="226"/>
      <c r="N44" s="226"/>
    </row>
    <row r="45" spans="1:14" ht="12.75">
      <c r="A45">
        <v>10910</v>
      </c>
      <c r="B45" s="1" t="s">
        <v>34</v>
      </c>
      <c r="C45" s="226">
        <v>0.3239942483274901</v>
      </c>
      <c r="D45" s="229">
        <v>0.33948034616757</v>
      </c>
      <c r="E45" s="226">
        <v>0.32599649064192</v>
      </c>
      <c r="F45" s="226">
        <v>0.31462162980171</v>
      </c>
      <c r="G45" s="226">
        <v>0.29957733381336</v>
      </c>
      <c r="H45" s="226">
        <v>0.31089033152257</v>
      </c>
      <c r="I45" s="19">
        <v>0.30961228624224</v>
      </c>
      <c r="J45" s="226">
        <v>0.30514308818515</v>
      </c>
      <c r="K45" s="226"/>
      <c r="L45" s="226"/>
      <c r="M45" s="226"/>
      <c r="N45" s="226"/>
    </row>
    <row r="46" spans="1:14" ht="12.75">
      <c r="A46">
        <v>10911</v>
      </c>
      <c r="B46" s="1" t="s">
        <v>229</v>
      </c>
      <c r="C46" s="226">
        <v>0.34774896084716</v>
      </c>
      <c r="D46" s="229">
        <v>0.36111065891976</v>
      </c>
      <c r="E46" s="226">
        <v>0.35942985183862</v>
      </c>
      <c r="F46" s="226">
        <v>0.35466428447296</v>
      </c>
      <c r="G46" s="226">
        <v>0.32388137743415</v>
      </c>
      <c r="H46" s="226">
        <v>0.31047972133705</v>
      </c>
      <c r="I46" s="19">
        <v>0.31624636364961</v>
      </c>
      <c r="J46" s="226">
        <v>0.31731472450063</v>
      </c>
      <c r="K46" s="226"/>
      <c r="L46" s="226"/>
      <c r="M46" s="226"/>
      <c r="N46" s="226"/>
    </row>
    <row r="47" spans="1:14" ht="12.75">
      <c r="A47">
        <v>11100</v>
      </c>
      <c r="B47" s="68" t="s">
        <v>186</v>
      </c>
      <c r="C47" s="226"/>
      <c r="D47" s="229"/>
      <c r="E47" s="226"/>
      <c r="F47" s="226"/>
      <c r="G47" s="226"/>
      <c r="H47" s="226"/>
      <c r="I47" s="19"/>
      <c r="J47" s="226"/>
      <c r="K47" s="226"/>
      <c r="L47" s="226"/>
      <c r="M47" s="226"/>
      <c r="N47" s="226"/>
    </row>
    <row r="48" spans="1:14" ht="12.75">
      <c r="A48">
        <v>11102</v>
      </c>
      <c r="B48" s="1" t="s">
        <v>230</v>
      </c>
      <c r="C48" s="226">
        <v>0.6776004623838001</v>
      </c>
      <c r="D48" s="229">
        <v>0.67412785956494</v>
      </c>
      <c r="E48" s="226">
        <v>0.6730803735530201</v>
      </c>
      <c r="F48" s="226">
        <v>0.66605630153721</v>
      </c>
      <c r="G48" s="226">
        <v>0.66660959815856</v>
      </c>
      <c r="H48" s="226">
        <v>0.6666737889116</v>
      </c>
      <c r="I48" s="19">
        <v>0.66521973650846</v>
      </c>
      <c r="J48" s="226">
        <v>0.6655958934639898</v>
      </c>
      <c r="K48" s="226"/>
      <c r="L48" s="226"/>
      <c r="M48" s="226"/>
      <c r="N48" s="226"/>
    </row>
    <row r="49" spans="1:14" ht="12.75">
      <c r="A49">
        <v>11106</v>
      </c>
      <c r="B49" s="1" t="s">
        <v>35</v>
      </c>
      <c r="C49" s="226">
        <v>0.57968870320806</v>
      </c>
      <c r="D49" s="229">
        <v>0.58354220800508</v>
      </c>
      <c r="E49" s="226">
        <v>0.57413196871558</v>
      </c>
      <c r="F49" s="226">
        <v>0.5728395338126</v>
      </c>
      <c r="G49" s="226">
        <v>0.57276970917548</v>
      </c>
      <c r="H49" s="226">
        <v>0.5730725570778</v>
      </c>
      <c r="I49" s="19">
        <v>0.5730725570778</v>
      </c>
      <c r="J49" s="226">
        <v>0.57294808569652</v>
      </c>
      <c r="K49" s="226"/>
      <c r="L49" s="226"/>
      <c r="M49" s="226"/>
      <c r="N49" s="226"/>
    </row>
    <row r="50" spans="1:14" ht="12.75">
      <c r="A50">
        <v>11200</v>
      </c>
      <c r="B50" s="68" t="s">
        <v>225</v>
      </c>
      <c r="C50" s="226"/>
      <c r="D50" s="229"/>
      <c r="E50" s="226"/>
      <c r="F50" s="226"/>
      <c r="G50" s="226"/>
      <c r="H50" s="226"/>
      <c r="I50" s="19"/>
      <c r="J50" s="226"/>
      <c r="K50" s="226"/>
      <c r="L50" s="226"/>
      <c r="M50" s="226"/>
      <c r="N50" s="226"/>
    </row>
    <row r="51" spans="1:14" ht="12.75">
      <c r="A51">
        <v>11202</v>
      </c>
      <c r="B51" s="1" t="s">
        <v>231</v>
      </c>
      <c r="C51" s="227" t="s">
        <v>362</v>
      </c>
      <c r="D51" s="227" t="s">
        <v>362</v>
      </c>
      <c r="E51" s="227" t="s">
        <v>362</v>
      </c>
      <c r="F51" s="227" t="s">
        <v>362</v>
      </c>
      <c r="G51" s="227" t="s">
        <v>362</v>
      </c>
      <c r="H51" s="227" t="s">
        <v>362</v>
      </c>
      <c r="I51" s="227" t="s">
        <v>362</v>
      </c>
      <c r="J51" s="227" t="s">
        <v>362</v>
      </c>
      <c r="K51" s="227"/>
      <c r="L51" s="227"/>
      <c r="M51" s="227"/>
      <c r="N51" s="227"/>
    </row>
    <row r="52" spans="1:14" ht="12.75">
      <c r="A52">
        <v>11206</v>
      </c>
      <c r="B52" s="1" t="s">
        <v>37</v>
      </c>
      <c r="C52" s="226">
        <v>0.4083845615889</v>
      </c>
      <c r="D52" s="229">
        <v>0.40924339923805</v>
      </c>
      <c r="E52" s="226">
        <v>0.40924339923805</v>
      </c>
      <c r="F52" s="226">
        <v>0.41009214746981</v>
      </c>
      <c r="G52" s="226">
        <v>0.42303379951411</v>
      </c>
      <c r="H52" s="226">
        <v>0.4227499846383</v>
      </c>
      <c r="I52" s="19">
        <v>0.4238477595632</v>
      </c>
      <c r="J52" s="226">
        <v>0.42356541539017</v>
      </c>
      <c r="K52" s="226"/>
      <c r="L52" s="226"/>
      <c r="M52" s="226"/>
      <c r="N52" s="226"/>
    </row>
    <row r="53" spans="1:14" ht="12.75">
      <c r="A53">
        <v>11400</v>
      </c>
      <c r="B53" s="68" t="s">
        <v>253</v>
      </c>
      <c r="C53" s="226"/>
      <c r="D53" s="229"/>
      <c r="E53" s="226"/>
      <c r="F53" s="226"/>
      <c r="G53" s="226"/>
      <c r="H53" s="226"/>
      <c r="I53" s="19"/>
      <c r="J53" s="226"/>
      <c r="K53" s="226"/>
      <c r="L53" s="226"/>
      <c r="M53" s="226"/>
      <c r="N53" s="226"/>
    </row>
    <row r="54" spans="1:14" ht="12.75">
      <c r="A54">
        <v>11401</v>
      </c>
      <c r="B54" s="1" t="s">
        <v>39</v>
      </c>
      <c r="C54" s="226">
        <v>0.4524107128537161</v>
      </c>
      <c r="D54" s="229">
        <v>0.47495802565013573</v>
      </c>
      <c r="E54" s="226">
        <v>0.509129222746915</v>
      </c>
      <c r="F54" s="226">
        <v>0.5213406231038099</v>
      </c>
      <c r="G54" s="226">
        <v>0.5265207657606845</v>
      </c>
      <c r="H54" s="226">
        <v>0.5344473829480135</v>
      </c>
      <c r="I54" s="19">
        <v>0.5427394350094646</v>
      </c>
      <c r="J54" s="226">
        <v>0.5567099027459244</v>
      </c>
      <c r="K54" s="226"/>
      <c r="L54" s="226"/>
      <c r="M54" s="226"/>
      <c r="N54" s="226"/>
    </row>
    <row r="55" spans="1:14" ht="12.75">
      <c r="A55">
        <v>11800</v>
      </c>
      <c r="B55" s="68" t="s">
        <v>254</v>
      </c>
      <c r="C55" s="226"/>
      <c r="D55" s="229"/>
      <c r="E55" s="226"/>
      <c r="F55" s="226"/>
      <c r="G55" s="226"/>
      <c r="H55" s="226"/>
      <c r="I55" s="19"/>
      <c r="J55" s="226"/>
      <c r="K55" s="226"/>
      <c r="L55" s="226"/>
      <c r="M55" s="226"/>
      <c r="N55" s="226"/>
    </row>
    <row r="56" spans="1:14" ht="12.75">
      <c r="A56">
        <v>11801</v>
      </c>
      <c r="B56" s="1" t="s">
        <v>235</v>
      </c>
      <c r="C56" s="227" t="s">
        <v>363</v>
      </c>
      <c r="D56" s="227" t="s">
        <v>363</v>
      </c>
      <c r="E56" s="227" t="s">
        <v>363</v>
      </c>
      <c r="F56" s="227" t="s">
        <v>363</v>
      </c>
      <c r="G56" s="227" t="s">
        <v>363</v>
      </c>
      <c r="H56" s="227" t="s">
        <v>363</v>
      </c>
      <c r="I56" s="227" t="s">
        <v>363</v>
      </c>
      <c r="J56" s="227" t="s">
        <v>363</v>
      </c>
      <c r="K56" s="227"/>
      <c r="L56" s="227"/>
      <c r="M56" s="227"/>
      <c r="N56" s="227"/>
    </row>
    <row r="57" spans="1:14" ht="12.75">
      <c r="A57">
        <v>11804</v>
      </c>
      <c r="B57" s="1" t="s">
        <v>41</v>
      </c>
      <c r="C57" s="226">
        <v>1.50134129758255</v>
      </c>
      <c r="D57" s="229">
        <v>1.49988749096977</v>
      </c>
      <c r="E57" s="226">
        <v>1.48534074018794</v>
      </c>
      <c r="F57" s="226">
        <v>1.49168294574856</v>
      </c>
      <c r="G57" s="226">
        <v>1.50136035031185</v>
      </c>
      <c r="H57" s="226">
        <v>1.50457404727123</v>
      </c>
      <c r="I57" s="19">
        <v>1.50457404727123</v>
      </c>
      <c r="J57" s="226">
        <v>1.50457404727123</v>
      </c>
      <c r="K57" s="226"/>
      <c r="L57" s="226"/>
      <c r="M57" s="226"/>
      <c r="N57" s="226"/>
    </row>
    <row r="58" spans="1:14" ht="12.75">
      <c r="A58">
        <v>20000</v>
      </c>
      <c r="B58" s="68" t="s">
        <v>42</v>
      </c>
      <c r="C58" s="226"/>
      <c r="D58" s="229"/>
      <c r="E58" s="226"/>
      <c r="F58" s="226"/>
      <c r="G58" s="226"/>
      <c r="H58" s="226"/>
      <c r="I58" s="19"/>
      <c r="J58" s="226"/>
      <c r="K58" s="226"/>
      <c r="L58" s="226"/>
      <c r="M58" s="226"/>
      <c r="N58" s="226"/>
    </row>
    <row r="59" spans="1:14" ht="12.75">
      <c r="A59">
        <v>20100</v>
      </c>
      <c r="B59" s="1" t="s">
        <v>43</v>
      </c>
      <c r="C59" s="226">
        <v>103.62238434038495</v>
      </c>
      <c r="D59" s="229">
        <v>104.32775383963084</v>
      </c>
      <c r="E59" s="226">
        <v>104.90668178280366</v>
      </c>
      <c r="F59" s="226">
        <v>105.4761973997996</v>
      </c>
      <c r="G59" s="226">
        <v>105.97742559349288</v>
      </c>
      <c r="H59" s="226">
        <v>106.5842987180688</v>
      </c>
      <c r="I59" s="19">
        <v>107.29708262278052</v>
      </c>
      <c r="J59" s="226">
        <v>108.01075978255282</v>
      </c>
      <c r="K59" s="226"/>
      <c r="L59" s="226"/>
      <c r="M59" s="226"/>
      <c r="N59" s="226"/>
    </row>
    <row r="60" spans="1:14" ht="12.75">
      <c r="A60">
        <v>20200</v>
      </c>
      <c r="B60" s="68" t="s">
        <v>196</v>
      </c>
      <c r="C60" s="226"/>
      <c r="D60" s="229"/>
      <c r="E60" s="226"/>
      <c r="F60" s="226"/>
      <c r="G60" s="226"/>
      <c r="H60" s="226"/>
      <c r="I60" s="19"/>
      <c r="J60" s="226"/>
      <c r="K60" s="226"/>
      <c r="L60" s="226"/>
      <c r="M60" s="226"/>
      <c r="N60" s="226"/>
    </row>
    <row r="61" spans="1:14" ht="12.75">
      <c r="A61">
        <v>20205</v>
      </c>
      <c r="B61" s="1" t="s">
        <v>259</v>
      </c>
      <c r="C61" s="226">
        <v>22.30595740652405</v>
      </c>
      <c r="D61" s="229">
        <v>22.29032066549089</v>
      </c>
      <c r="E61" s="226">
        <v>22.29315721090631</v>
      </c>
      <c r="F61" s="226">
        <v>22.32966975741687</v>
      </c>
      <c r="G61" s="226">
        <v>22.29628421735517</v>
      </c>
      <c r="H61" s="226">
        <v>22.30200034982137</v>
      </c>
      <c r="I61" s="19">
        <v>22.30721927134597</v>
      </c>
      <c r="J61" s="226">
        <v>22.30721927134597</v>
      </c>
      <c r="K61" s="226"/>
      <c r="L61" s="226"/>
      <c r="M61" s="226"/>
      <c r="N61" s="226"/>
    </row>
    <row r="62" spans="1:14" ht="12.75">
      <c r="A62">
        <v>20206</v>
      </c>
      <c r="B62" s="1" t="s">
        <v>45</v>
      </c>
      <c r="C62" s="226">
        <v>1.7006503702157103</v>
      </c>
      <c r="D62" s="229">
        <v>1.7006503702157103</v>
      </c>
      <c r="E62" s="226">
        <v>1.70289879120185</v>
      </c>
      <c r="F62" s="226">
        <v>1.70289879120185</v>
      </c>
      <c r="G62" s="226">
        <v>1.69861962896556</v>
      </c>
      <c r="H62" s="226">
        <v>1.69861962896556</v>
      </c>
      <c r="I62" s="19">
        <v>1.69903675914211</v>
      </c>
      <c r="J62" s="226">
        <v>1.69861962896556</v>
      </c>
      <c r="K62" s="226"/>
      <c r="L62" s="226"/>
      <c r="M62" s="226"/>
      <c r="N62" s="226"/>
    </row>
    <row r="63" spans="1:14" ht="12.75">
      <c r="A63">
        <v>20300</v>
      </c>
      <c r="B63" s="68" t="s">
        <v>198</v>
      </c>
      <c r="C63" s="226"/>
      <c r="D63" s="229"/>
      <c r="E63" s="226"/>
      <c r="F63" s="226"/>
      <c r="G63" s="226"/>
      <c r="H63" s="226"/>
      <c r="I63" s="19"/>
      <c r="J63" s="226"/>
      <c r="K63" s="226"/>
      <c r="L63" s="226"/>
      <c r="M63" s="226"/>
      <c r="N63" s="226"/>
    </row>
    <row r="64" spans="1:14" ht="12.75">
      <c r="A64">
        <v>20301</v>
      </c>
      <c r="B64" s="1" t="s">
        <v>47</v>
      </c>
      <c r="C64" s="226">
        <v>14.456687538723703</v>
      </c>
      <c r="D64" s="229">
        <v>14.47823294624521</v>
      </c>
      <c r="E64" s="226">
        <v>14.47823294624521</v>
      </c>
      <c r="F64" s="226">
        <v>14.54825552069013</v>
      </c>
      <c r="G64" s="226">
        <v>14.56749851398438</v>
      </c>
      <c r="H64" s="226">
        <v>14.56749851398438</v>
      </c>
      <c r="I64" s="19">
        <v>14.56749851398438</v>
      </c>
      <c r="J64" s="226">
        <v>14.56749851398438</v>
      </c>
      <c r="K64" s="226"/>
      <c r="L64" s="226"/>
      <c r="M64" s="226"/>
      <c r="N64" s="226"/>
    </row>
    <row r="65" spans="1:14" ht="12.75">
      <c r="A65">
        <v>20303</v>
      </c>
      <c r="B65" s="1" t="s">
        <v>48</v>
      </c>
      <c r="C65" s="226">
        <v>0.491111989320434</v>
      </c>
      <c r="D65" s="229">
        <v>0.48897545541009</v>
      </c>
      <c r="E65" s="226">
        <v>0.48409293827184197</v>
      </c>
      <c r="F65" s="226">
        <v>0.480828567701002</v>
      </c>
      <c r="G65" s="226">
        <v>0.48247942875260197</v>
      </c>
      <c r="H65" s="226">
        <v>0.48630998223105204</v>
      </c>
      <c r="I65" s="19">
        <v>0.485888617400622</v>
      </c>
      <c r="J65" s="226">
        <v>0.487283538743838</v>
      </c>
      <c r="K65" s="226"/>
      <c r="L65" s="226"/>
      <c r="M65" s="226"/>
      <c r="N65" s="226"/>
    </row>
    <row r="66" spans="1:14" ht="12.75">
      <c r="A66">
        <v>20304</v>
      </c>
      <c r="B66" s="1" t="s">
        <v>236</v>
      </c>
      <c r="C66" s="226">
        <v>0.2844458325803</v>
      </c>
      <c r="D66" s="229">
        <v>0.26763895963939</v>
      </c>
      <c r="E66" s="226">
        <v>0.26686170076109</v>
      </c>
      <c r="F66" s="226">
        <v>0.26654438274152</v>
      </c>
      <c r="G66" s="226">
        <v>0.26687681039548</v>
      </c>
      <c r="H66" s="226">
        <v>0.26838027822282</v>
      </c>
      <c r="I66" s="19">
        <v>0.26947770391698</v>
      </c>
      <c r="J66" s="226">
        <v>0.27089805914339</v>
      </c>
      <c r="K66" s="226"/>
      <c r="L66" s="226"/>
      <c r="M66" s="226"/>
      <c r="N66" s="226"/>
    </row>
    <row r="67" spans="1:14" ht="12.75">
      <c r="A67">
        <v>20305</v>
      </c>
      <c r="B67" s="1" t="s">
        <v>237</v>
      </c>
      <c r="C67" s="226">
        <v>0.25291150766827</v>
      </c>
      <c r="D67" s="229">
        <v>0.26063078975351</v>
      </c>
      <c r="E67" s="226">
        <v>0.25762082124553</v>
      </c>
      <c r="F67" s="226">
        <v>0.2567377218111</v>
      </c>
      <c r="G67" s="226">
        <v>0.2598533101527</v>
      </c>
      <c r="H67" s="226">
        <v>0.27719008439704</v>
      </c>
      <c r="I67" s="19">
        <v>0.27706624462213</v>
      </c>
      <c r="J67" s="226">
        <v>0.27748507211966</v>
      </c>
      <c r="K67" s="226"/>
      <c r="L67" s="226"/>
      <c r="M67" s="226"/>
      <c r="N67" s="226"/>
    </row>
    <row r="68" spans="1:14" ht="12.75">
      <c r="A68">
        <v>20700</v>
      </c>
      <c r="B68" s="68" t="s">
        <v>200</v>
      </c>
      <c r="C68" s="226"/>
      <c r="D68" s="229"/>
      <c r="E68" s="226"/>
      <c r="F68" s="226"/>
      <c r="G68" s="226"/>
      <c r="H68" s="226"/>
      <c r="I68" s="19"/>
      <c r="J68" s="226"/>
      <c r="K68" s="226"/>
      <c r="L68" s="226"/>
      <c r="M68" s="226"/>
      <c r="N68" s="226"/>
    </row>
    <row r="69" spans="1:14" ht="12.75">
      <c r="A69">
        <v>20701</v>
      </c>
      <c r="B69" s="1" t="s">
        <v>50</v>
      </c>
      <c r="C69" s="226">
        <v>1.8167707888586901</v>
      </c>
      <c r="D69" s="229">
        <v>1.85716401874726</v>
      </c>
      <c r="E69" s="226">
        <v>1.89952626345145</v>
      </c>
      <c r="F69" s="226">
        <v>1.90604052528259</v>
      </c>
      <c r="G69" s="226">
        <v>1.84981365005233</v>
      </c>
      <c r="H69" s="226">
        <v>1.84942453132761</v>
      </c>
      <c r="I69" s="19">
        <v>1.8817195648061797</v>
      </c>
      <c r="J69" s="226">
        <v>1.90529842781809</v>
      </c>
      <c r="K69" s="226"/>
      <c r="L69" s="226"/>
      <c r="M69" s="226"/>
      <c r="N69" s="226"/>
    </row>
    <row r="70" spans="1:14" ht="12.75">
      <c r="A70">
        <v>20702</v>
      </c>
      <c r="B70" s="1" t="s">
        <v>51</v>
      </c>
      <c r="C70" s="226">
        <v>0.32722286810993</v>
      </c>
      <c r="D70" s="229">
        <v>0.32546819793075</v>
      </c>
      <c r="E70" s="226">
        <v>0.32668978949785</v>
      </c>
      <c r="F70" s="226">
        <v>0.32812751405726</v>
      </c>
      <c r="G70" s="226">
        <v>0.32995574897944</v>
      </c>
      <c r="H70" s="226">
        <v>0.32752535419743</v>
      </c>
      <c r="I70" s="19">
        <v>0.32463939679418</v>
      </c>
      <c r="J70" s="226">
        <v>0.32799237372766</v>
      </c>
      <c r="K70" s="226"/>
      <c r="L70" s="226"/>
      <c r="M70" s="226"/>
      <c r="N70" s="226"/>
    </row>
    <row r="71" spans="1:14" ht="12.75">
      <c r="A71">
        <v>30000</v>
      </c>
      <c r="B71" s="68" t="s">
        <v>52</v>
      </c>
      <c r="C71" s="226"/>
      <c r="D71" s="229"/>
      <c r="E71" s="226"/>
      <c r="F71" s="226"/>
      <c r="G71" s="226"/>
      <c r="H71" s="226"/>
      <c r="I71" s="19"/>
      <c r="J71" s="226"/>
      <c r="K71" s="226"/>
      <c r="L71" s="226"/>
      <c r="M71" s="226"/>
      <c r="N71" s="226"/>
    </row>
    <row r="72" spans="1:14" ht="12.75">
      <c r="A72">
        <v>30100</v>
      </c>
      <c r="B72" s="68" t="s">
        <v>255</v>
      </c>
      <c r="C72" s="226"/>
      <c r="D72" s="229"/>
      <c r="E72" s="226"/>
      <c r="F72" s="226"/>
      <c r="G72" s="226"/>
      <c r="H72" s="226"/>
      <c r="I72" s="19"/>
      <c r="J72" s="226"/>
      <c r="K72" s="226"/>
      <c r="L72" s="226"/>
      <c r="M72" s="226"/>
      <c r="N72" s="226"/>
    </row>
    <row r="73" spans="1:14" ht="12.75">
      <c r="A73">
        <v>30101</v>
      </c>
      <c r="B73" s="75" t="s">
        <v>268</v>
      </c>
      <c r="C73" s="226">
        <v>7.69879237604974</v>
      </c>
      <c r="D73" s="229">
        <v>7.68235086386058</v>
      </c>
      <c r="E73" s="226">
        <v>7.63648455136567</v>
      </c>
      <c r="F73" s="226">
        <v>7.67868853843593</v>
      </c>
      <c r="G73" s="226">
        <v>7.69483560857453</v>
      </c>
      <c r="H73" s="226">
        <v>7.87863143065634</v>
      </c>
      <c r="I73" s="19">
        <v>7.86112809797527</v>
      </c>
      <c r="J73" s="226">
        <v>7.86065176841283</v>
      </c>
      <c r="K73" s="226"/>
      <c r="L73" s="226"/>
      <c r="M73" s="226"/>
      <c r="N73" s="226"/>
    </row>
    <row r="74" spans="1:14" ht="12.75">
      <c r="A74" s="182">
        <v>30102</v>
      </c>
      <c r="B74" s="183" t="s">
        <v>238</v>
      </c>
      <c r="C74" s="227" t="s">
        <v>364</v>
      </c>
      <c r="D74" s="227" t="s">
        <v>364</v>
      </c>
      <c r="E74" s="227" t="s">
        <v>364</v>
      </c>
      <c r="F74" s="227" t="s">
        <v>364</v>
      </c>
      <c r="G74" s="227" t="s">
        <v>364</v>
      </c>
      <c r="H74" s="227" t="s">
        <v>364</v>
      </c>
      <c r="I74" s="227" t="s">
        <v>364</v>
      </c>
      <c r="J74" s="227" t="s">
        <v>364</v>
      </c>
      <c r="K74" s="227"/>
      <c r="L74" s="227"/>
      <c r="M74" s="227"/>
      <c r="N74" s="227"/>
    </row>
    <row r="75" spans="1:14" ht="12.75">
      <c r="A75">
        <v>30200</v>
      </c>
      <c r="B75" s="68" t="s">
        <v>256</v>
      </c>
      <c r="C75" s="226"/>
      <c r="D75" s="229"/>
      <c r="E75" s="226"/>
      <c r="F75" s="226"/>
      <c r="G75" s="226"/>
      <c r="H75" s="226"/>
      <c r="I75" s="19"/>
      <c r="J75" s="226"/>
      <c r="K75" s="226"/>
      <c r="L75" s="226"/>
      <c r="M75" s="226"/>
      <c r="N75" s="226"/>
    </row>
    <row r="76" spans="1:14" ht="12.75">
      <c r="A76">
        <v>30201</v>
      </c>
      <c r="B76" s="1" t="s">
        <v>55</v>
      </c>
      <c r="C76" s="226">
        <v>20.38531665615548</v>
      </c>
      <c r="D76" s="229">
        <v>20.25786201893085</v>
      </c>
      <c r="E76" s="226">
        <v>20.29824923669073</v>
      </c>
      <c r="F76" s="226">
        <v>20.32537836406234</v>
      </c>
      <c r="G76" s="226">
        <v>20.55879028196213</v>
      </c>
      <c r="H76" s="226">
        <v>20.54361973116438</v>
      </c>
      <c r="I76" s="19">
        <v>20.45433047161891</v>
      </c>
      <c r="J76" s="226">
        <v>20.19163298977476</v>
      </c>
      <c r="K76" s="226"/>
      <c r="L76" s="226"/>
      <c r="M76" s="226"/>
      <c r="N76" s="226"/>
    </row>
    <row r="77" spans="1:14" ht="12.75">
      <c r="A77">
        <v>30203</v>
      </c>
      <c r="B77" s="1" t="s">
        <v>56</v>
      </c>
      <c r="C77" s="226">
        <v>2.09288314851925</v>
      </c>
      <c r="D77" s="229">
        <v>2.08863640006598</v>
      </c>
      <c r="E77" s="226">
        <v>2.0081445152016</v>
      </c>
      <c r="F77" s="226">
        <v>1.98233485097264</v>
      </c>
      <c r="G77" s="226">
        <v>2.01003274205045</v>
      </c>
      <c r="H77" s="226">
        <v>2.02987203502711</v>
      </c>
      <c r="I77" s="19">
        <v>2.03861837243959</v>
      </c>
      <c r="J77" s="226">
        <v>1.98329408816905</v>
      </c>
      <c r="K77" s="226"/>
      <c r="L77" s="226"/>
      <c r="M77" s="226"/>
      <c r="N77" s="226"/>
    </row>
    <row r="78" spans="1:14" ht="12.75">
      <c r="A78">
        <v>30205</v>
      </c>
      <c r="B78" s="1" t="s">
        <v>239</v>
      </c>
      <c r="C78" s="226">
        <v>20.65680158649125</v>
      </c>
      <c r="D78" s="229">
        <v>20.70573456734567</v>
      </c>
      <c r="E78" s="226">
        <v>20.67542636010118</v>
      </c>
      <c r="F78" s="226">
        <v>20.50495025904894</v>
      </c>
      <c r="G78" s="226">
        <v>20.93557397666177</v>
      </c>
      <c r="H78" s="226">
        <v>20.78627048648579</v>
      </c>
      <c r="I78" s="19">
        <v>20.39231770556154</v>
      </c>
      <c r="J78" s="226">
        <v>20.25901434932071</v>
      </c>
      <c r="K78" s="226"/>
      <c r="L78" s="226"/>
      <c r="M78" s="226"/>
      <c r="N78" s="226"/>
    </row>
    <row r="79" spans="1:14" ht="12.75">
      <c r="A79">
        <v>30207</v>
      </c>
      <c r="B79" s="1" t="s">
        <v>57</v>
      </c>
      <c r="C79" s="226">
        <v>32.08735469466735</v>
      </c>
      <c r="D79" s="229">
        <v>31.98154463635178</v>
      </c>
      <c r="E79" s="226">
        <v>31.68292924637202</v>
      </c>
      <c r="F79" s="226">
        <v>31.80626029395476</v>
      </c>
      <c r="G79" s="226">
        <v>32.23338849726362</v>
      </c>
      <c r="H79" s="226">
        <v>30.92156765927827</v>
      </c>
      <c r="I79" s="19">
        <v>30.55200764278398</v>
      </c>
      <c r="J79" s="226">
        <v>30.86378158112721</v>
      </c>
      <c r="K79" s="226"/>
      <c r="L79" s="226"/>
      <c r="M79" s="226"/>
      <c r="N79" s="226"/>
    </row>
    <row r="80" spans="1:14" ht="12.75">
      <c r="A80">
        <v>30300</v>
      </c>
      <c r="B80" s="68" t="s">
        <v>257</v>
      </c>
      <c r="C80" s="226"/>
      <c r="D80" s="229"/>
      <c r="E80" s="226"/>
      <c r="F80" s="226"/>
      <c r="G80" s="226"/>
      <c r="H80" s="226"/>
      <c r="I80" s="19"/>
      <c r="J80" s="226"/>
      <c r="K80" s="226"/>
      <c r="L80" s="226"/>
      <c r="M80" s="226"/>
      <c r="N80" s="226"/>
    </row>
    <row r="81" spans="1:14" ht="12.75">
      <c r="A81">
        <v>30302</v>
      </c>
      <c r="B81" s="1" t="s">
        <v>59</v>
      </c>
      <c r="C81" s="226">
        <v>17.54691269869815</v>
      </c>
      <c r="D81" s="229">
        <v>17.4381215161206</v>
      </c>
      <c r="E81" s="226">
        <v>17.39258669260768</v>
      </c>
      <c r="F81" s="226">
        <v>17.12033942073108</v>
      </c>
      <c r="G81" s="226">
        <v>16.3582977694813</v>
      </c>
      <c r="H81" s="226">
        <v>16.10094237735499</v>
      </c>
      <c r="I81" s="19">
        <v>15.88033275003695</v>
      </c>
      <c r="J81" s="226">
        <v>15.92365418181009</v>
      </c>
      <c r="K81" s="226"/>
      <c r="L81" s="226"/>
      <c r="M81" s="226"/>
      <c r="N81" s="226"/>
    </row>
    <row r="82" spans="1:14" ht="12.75">
      <c r="A82">
        <v>30303</v>
      </c>
      <c r="B82" s="1" t="s">
        <v>60</v>
      </c>
      <c r="C82" s="226">
        <v>2.54799273040858</v>
      </c>
      <c r="D82" s="229">
        <v>2.6322756711401305</v>
      </c>
      <c r="E82" s="226">
        <v>2.6322756711401305</v>
      </c>
      <c r="F82" s="226">
        <v>2.59388015134606</v>
      </c>
      <c r="G82" s="226">
        <v>2.58971152568504</v>
      </c>
      <c r="H82" s="226">
        <v>2.62465977346468</v>
      </c>
      <c r="I82" s="19">
        <v>2.6181654692093796</v>
      </c>
      <c r="J82" s="226">
        <v>2.63935691727372</v>
      </c>
      <c r="K82" s="226"/>
      <c r="L82" s="226"/>
      <c r="M82" s="226"/>
      <c r="N82" s="226"/>
    </row>
    <row r="83" spans="1:14" ht="12.75">
      <c r="A83">
        <v>30304</v>
      </c>
      <c r="B83" s="74" t="s">
        <v>61</v>
      </c>
      <c r="C83" s="226">
        <v>17.45494044540842</v>
      </c>
      <c r="D83" s="229">
        <v>17.57013452743785</v>
      </c>
      <c r="E83" s="226">
        <v>17.57013452743785</v>
      </c>
      <c r="F83" s="226">
        <v>18.87844484513445</v>
      </c>
      <c r="G83" s="226">
        <v>18.97788417299848</v>
      </c>
      <c r="H83" s="226">
        <v>18.30249173914764</v>
      </c>
      <c r="I83" s="19">
        <v>18.4196618486555</v>
      </c>
      <c r="J83" s="226">
        <v>17.7584004939726</v>
      </c>
      <c r="K83" s="226"/>
      <c r="L83" s="226"/>
      <c r="M83" s="226"/>
      <c r="N83" s="226"/>
    </row>
    <row r="84" spans="1:14" ht="12.75">
      <c r="A84">
        <v>30305</v>
      </c>
      <c r="B84" s="1" t="s">
        <v>62</v>
      </c>
      <c r="C84" s="226">
        <v>0.70222135987739</v>
      </c>
      <c r="D84" s="229">
        <v>0.7063716189699001</v>
      </c>
      <c r="E84" s="226">
        <v>0.7063716189699001</v>
      </c>
      <c r="F84" s="226">
        <v>0.70614822838193</v>
      </c>
      <c r="G84" s="226">
        <v>0.71799475491733</v>
      </c>
      <c r="H84" s="226">
        <v>0.71853281596047</v>
      </c>
      <c r="I84" s="19">
        <v>0.72205093466433</v>
      </c>
      <c r="J84" s="226">
        <v>0.71165211149112</v>
      </c>
      <c r="K84" s="226"/>
      <c r="L84" s="226"/>
      <c r="M84" s="226"/>
      <c r="N84" s="226"/>
    </row>
    <row r="85" spans="1:14" ht="12.75">
      <c r="A85">
        <v>30306</v>
      </c>
      <c r="B85" s="1" t="s">
        <v>240</v>
      </c>
      <c r="C85" s="226">
        <v>21.56295201434852</v>
      </c>
      <c r="D85" s="229">
        <v>21.64792957039029</v>
      </c>
      <c r="E85" s="226">
        <v>21.57747841186754</v>
      </c>
      <c r="F85" s="226">
        <v>21.32372695993309</v>
      </c>
      <c r="G85" s="226">
        <v>21.43717784168074</v>
      </c>
      <c r="H85" s="226">
        <v>21.45004510604449</v>
      </c>
      <c r="I85" s="19">
        <v>20.77110928546273</v>
      </c>
      <c r="J85" s="226">
        <v>19.5493409397394</v>
      </c>
      <c r="K85" s="226"/>
      <c r="L85" s="226"/>
      <c r="M85" s="226"/>
      <c r="N85" s="226"/>
    </row>
    <row r="86" spans="1:14" ht="12.75">
      <c r="A86">
        <v>30309</v>
      </c>
      <c r="B86" s="1" t="s">
        <v>63</v>
      </c>
      <c r="C86" s="226">
        <v>22.97122830434944</v>
      </c>
      <c r="D86" s="229">
        <v>22.93528419006221</v>
      </c>
      <c r="E86" s="226">
        <v>22.92295239895788</v>
      </c>
      <c r="F86" s="226">
        <v>23.06776737269632</v>
      </c>
      <c r="G86" s="226">
        <v>23.22825451661524</v>
      </c>
      <c r="H86" s="226">
        <v>23.203833115443178</v>
      </c>
      <c r="I86" s="19">
        <v>22.70463970199201</v>
      </c>
      <c r="J86" s="226">
        <v>23.126061757459073</v>
      </c>
      <c r="K86" s="226"/>
      <c r="L86" s="226"/>
      <c r="M86" s="226"/>
      <c r="N86" s="226"/>
    </row>
    <row r="87" spans="1:14" ht="12.75">
      <c r="A87">
        <v>30500</v>
      </c>
      <c r="B87" s="68" t="s">
        <v>208</v>
      </c>
      <c r="C87" s="226"/>
      <c r="D87" s="229"/>
      <c r="E87" s="226"/>
      <c r="F87" s="226"/>
      <c r="G87" s="226"/>
      <c r="H87" s="226"/>
      <c r="I87" s="19"/>
      <c r="J87" s="226"/>
      <c r="K87" s="226"/>
      <c r="L87" s="226"/>
      <c r="M87" s="226"/>
      <c r="N87" s="226"/>
    </row>
    <row r="88" spans="1:14" ht="12.75">
      <c r="A88">
        <v>30505</v>
      </c>
      <c r="B88" s="1" t="s">
        <v>241</v>
      </c>
      <c r="C88" s="226">
        <v>9.26823886229472</v>
      </c>
      <c r="D88" s="229">
        <v>9.45664730487288</v>
      </c>
      <c r="E88" s="226">
        <v>9.50808841061722</v>
      </c>
      <c r="F88" s="226">
        <v>9.539576252229</v>
      </c>
      <c r="G88" s="226">
        <v>9.57315516904426</v>
      </c>
      <c r="H88" s="226">
        <v>9.54523434282335</v>
      </c>
      <c r="I88" s="19">
        <v>9.54523434282335</v>
      </c>
      <c r="J88" s="226">
        <v>9.52293553388076</v>
      </c>
      <c r="K88" s="226"/>
      <c r="L88" s="226"/>
      <c r="M88" s="226"/>
      <c r="N88" s="226"/>
    </row>
    <row r="89" spans="1:14" ht="12.75">
      <c r="A89">
        <v>40000</v>
      </c>
      <c r="B89" s="68" t="s">
        <v>64</v>
      </c>
      <c r="C89" s="226"/>
      <c r="D89" s="229"/>
      <c r="E89" s="226"/>
      <c r="F89" s="226"/>
      <c r="G89" s="226"/>
      <c r="H89" s="226"/>
      <c r="I89" s="19"/>
      <c r="J89" s="226"/>
      <c r="K89" s="226"/>
      <c r="L89" s="226"/>
      <c r="M89" s="226"/>
      <c r="N89" s="226"/>
    </row>
    <row r="90" spans="1:14" ht="12.75">
      <c r="A90">
        <v>40100</v>
      </c>
      <c r="B90" s="68" t="s">
        <v>211</v>
      </c>
      <c r="C90" s="226"/>
      <c r="D90" s="229"/>
      <c r="E90" s="226"/>
      <c r="F90" s="226"/>
      <c r="G90" s="226"/>
      <c r="H90" s="226"/>
      <c r="I90" s="19"/>
      <c r="J90" s="226"/>
      <c r="K90" s="226"/>
      <c r="L90" s="226"/>
      <c r="M90" s="226"/>
      <c r="N90" s="226"/>
    </row>
    <row r="91" spans="1:14" ht="12.75">
      <c r="A91">
        <v>40101</v>
      </c>
      <c r="B91" s="1" t="s">
        <v>242</v>
      </c>
      <c r="C91" s="226">
        <v>9.36060232171032</v>
      </c>
      <c r="D91" s="229">
        <v>9.44044046465563</v>
      </c>
      <c r="E91" s="226">
        <v>9.44044046465563</v>
      </c>
      <c r="F91" s="226">
        <v>9.72261690801467</v>
      </c>
      <c r="G91" s="226">
        <v>9.93511288353352</v>
      </c>
      <c r="H91" s="226">
        <v>10.01834034414962</v>
      </c>
      <c r="I91" s="19">
        <v>10.01834034414962</v>
      </c>
      <c r="J91" s="226">
        <v>10.01834034414962</v>
      </c>
      <c r="K91" s="226"/>
      <c r="L91" s="226"/>
      <c r="M91" s="226"/>
      <c r="N91" s="226"/>
    </row>
    <row r="92" spans="1:14" ht="12.75">
      <c r="A92">
        <v>40102</v>
      </c>
      <c r="B92" s="1" t="s">
        <v>66</v>
      </c>
      <c r="C92" s="226">
        <v>25.77414141971358</v>
      </c>
      <c r="D92" s="229">
        <v>25.827075596448868</v>
      </c>
      <c r="E92" s="226">
        <v>25.89318143492427</v>
      </c>
      <c r="F92" s="226">
        <v>25.856658801360883</v>
      </c>
      <c r="G92" s="226">
        <v>25.820248524979633</v>
      </c>
      <c r="H92" s="226">
        <v>25.85575132836644</v>
      </c>
      <c r="I92" s="19">
        <v>25.923173165050702</v>
      </c>
      <c r="J92" s="226">
        <v>26.663164150169802</v>
      </c>
      <c r="K92" s="226"/>
      <c r="L92" s="226"/>
      <c r="M92" s="226"/>
      <c r="N92" s="226"/>
    </row>
    <row r="93" spans="1:14" ht="12.75">
      <c r="A93">
        <v>40200</v>
      </c>
      <c r="B93" s="68" t="s">
        <v>258</v>
      </c>
      <c r="C93" s="226"/>
      <c r="D93" s="229"/>
      <c r="E93" s="226"/>
      <c r="F93" s="226"/>
      <c r="G93" s="226"/>
      <c r="H93" s="226"/>
      <c r="I93" s="19"/>
      <c r="J93" s="226"/>
      <c r="K93" s="226"/>
      <c r="L93" s="226"/>
      <c r="M93" s="226"/>
      <c r="N93" s="226"/>
    </row>
    <row r="94" spans="1:14" ht="12.75">
      <c r="A94">
        <v>40201</v>
      </c>
      <c r="B94" s="1" t="s">
        <v>68</v>
      </c>
      <c r="C94" s="226">
        <v>1.94720733695049</v>
      </c>
      <c r="D94" s="229">
        <v>1.96382070004334</v>
      </c>
      <c r="E94" s="226">
        <v>1.96382070004334</v>
      </c>
      <c r="F94" s="226">
        <v>1.96382070004334</v>
      </c>
      <c r="G94" s="226">
        <v>1.96382070004334</v>
      </c>
      <c r="H94" s="226">
        <v>1.96382070004334</v>
      </c>
      <c r="I94" s="19">
        <v>1.96382070004334</v>
      </c>
      <c r="J94" s="226">
        <v>1.96382070004334</v>
      </c>
      <c r="K94" s="226"/>
      <c r="L94" s="226"/>
      <c r="M94" s="226"/>
      <c r="N94" s="226"/>
    </row>
    <row r="95" spans="1:14" ht="12.75">
      <c r="A95">
        <v>40202</v>
      </c>
      <c r="B95" s="1" t="s">
        <v>69</v>
      </c>
      <c r="C95" s="226">
        <v>1.18782987707138</v>
      </c>
      <c r="D95" s="229">
        <v>1.16673043414331</v>
      </c>
      <c r="E95" s="226">
        <v>1.1566003578188202</v>
      </c>
      <c r="F95" s="226">
        <v>1.17418609448011</v>
      </c>
      <c r="G95" s="226">
        <v>1.17545869992147</v>
      </c>
      <c r="H95" s="226">
        <v>1.16985796907962</v>
      </c>
      <c r="I95" s="19">
        <v>1.1746337983746398</v>
      </c>
      <c r="J95" s="226">
        <v>1.16969251971125</v>
      </c>
      <c r="K95" s="226"/>
      <c r="L95" s="226"/>
      <c r="M95" s="226"/>
      <c r="N95" s="226"/>
    </row>
    <row r="96" spans="1:14" ht="12.75">
      <c r="A96">
        <v>40204</v>
      </c>
      <c r="B96" s="1" t="s">
        <v>243</v>
      </c>
      <c r="C96" s="226">
        <v>0.48819015328452</v>
      </c>
      <c r="D96" s="229">
        <v>0.48697888419710006</v>
      </c>
      <c r="E96" s="226">
        <v>0.49665617416325</v>
      </c>
      <c r="F96" s="226">
        <v>0.48362562680454</v>
      </c>
      <c r="G96" s="226">
        <v>0.4789812209904</v>
      </c>
      <c r="H96" s="226">
        <v>0.48486226214039</v>
      </c>
      <c r="I96" s="19">
        <v>0.49871502989066</v>
      </c>
      <c r="J96" s="226">
        <v>0.50310247828799</v>
      </c>
      <c r="K96" s="226"/>
      <c r="L96" s="226"/>
      <c r="M96" s="226"/>
      <c r="N96" s="226"/>
    </row>
    <row r="97" spans="1:14" ht="12.75">
      <c r="A97">
        <v>40205</v>
      </c>
      <c r="B97" s="1" t="s">
        <v>70</v>
      </c>
      <c r="C97" s="226">
        <v>0.7994331712217</v>
      </c>
      <c r="D97" s="229">
        <v>0.75871976957755</v>
      </c>
      <c r="E97" s="226">
        <v>0.75324413534395</v>
      </c>
      <c r="F97" s="226">
        <v>0.76359320147346</v>
      </c>
      <c r="G97" s="226">
        <v>0.73575702846314</v>
      </c>
      <c r="H97" s="226">
        <v>0.67426452112055</v>
      </c>
      <c r="I97" s="19">
        <v>0.67136993689954</v>
      </c>
      <c r="J97" s="226">
        <v>0.68195839542913</v>
      </c>
      <c r="K97" s="226"/>
      <c r="L97" s="226"/>
      <c r="M97" s="226"/>
      <c r="N97" s="226"/>
    </row>
    <row r="98" spans="1:14" ht="12.75">
      <c r="A98">
        <v>40207</v>
      </c>
      <c r="B98" s="74" t="s">
        <v>263</v>
      </c>
      <c r="C98" s="226">
        <v>1.88984515016037</v>
      </c>
      <c r="D98" s="229">
        <v>1.91396184932292</v>
      </c>
      <c r="E98" s="226">
        <v>1.90839592851144</v>
      </c>
      <c r="F98" s="226">
        <v>1.8931150287348402</v>
      </c>
      <c r="G98" s="226">
        <v>1.91151279280962</v>
      </c>
      <c r="H98" s="226">
        <v>1.88382286743604</v>
      </c>
      <c r="I98" s="19">
        <v>1.92484341717101</v>
      </c>
      <c r="J98" s="226">
        <v>1.94574477276682</v>
      </c>
      <c r="K98" s="226"/>
      <c r="L98" s="226"/>
      <c r="M98" s="226"/>
      <c r="N98" s="226"/>
    </row>
    <row r="99" spans="1:14" ht="12.75">
      <c r="A99">
        <v>40300</v>
      </c>
      <c r="B99" s="68" t="s">
        <v>215</v>
      </c>
      <c r="C99" s="226"/>
      <c r="D99" s="229"/>
      <c r="E99" s="226"/>
      <c r="F99" s="226"/>
      <c r="G99" s="226"/>
      <c r="H99" s="226"/>
      <c r="I99" s="19"/>
      <c r="J99" s="226"/>
      <c r="K99" s="226"/>
      <c r="L99" s="226"/>
      <c r="M99" s="226"/>
      <c r="N99" s="226"/>
    </row>
    <row r="100" spans="1:14" ht="12.75">
      <c r="A100" s="182">
        <v>40301</v>
      </c>
      <c r="B100" s="183" t="s">
        <v>72</v>
      </c>
      <c r="C100" s="226">
        <v>3.35965817592477</v>
      </c>
      <c r="D100" s="229">
        <v>3.35965817592477</v>
      </c>
      <c r="E100" s="226">
        <v>3.35965817592477</v>
      </c>
      <c r="F100" s="226">
        <v>3.35965817592477</v>
      </c>
      <c r="G100" s="226">
        <v>3.40389178633456</v>
      </c>
      <c r="H100" s="226">
        <v>3.47626510584473</v>
      </c>
      <c r="I100" s="19">
        <v>3.47626510584473</v>
      </c>
      <c r="J100" s="226">
        <v>3.47898372094823</v>
      </c>
      <c r="K100" s="226"/>
      <c r="L100" s="226"/>
      <c r="M100" s="226"/>
      <c r="N100" s="226"/>
    </row>
    <row r="101" spans="1:14" ht="12.75">
      <c r="A101">
        <v>40303</v>
      </c>
      <c r="B101" s="1" t="s">
        <v>244</v>
      </c>
      <c r="C101" s="226">
        <v>4.33798389206503</v>
      </c>
      <c r="D101" s="229">
        <v>4.3720167491099</v>
      </c>
      <c r="E101" s="226">
        <v>3.70847661315832</v>
      </c>
      <c r="F101" s="226">
        <v>3.67132292259402</v>
      </c>
      <c r="G101" s="226">
        <v>3.67132292259402</v>
      </c>
      <c r="H101" s="226">
        <v>3.66243707869009</v>
      </c>
      <c r="I101" s="19">
        <v>3.66243707869009</v>
      </c>
      <c r="J101" s="226">
        <v>3.91746625751321</v>
      </c>
      <c r="K101" s="226"/>
      <c r="L101" s="226"/>
      <c r="M101" s="226"/>
      <c r="N101" s="226"/>
    </row>
    <row r="102" spans="1:14" ht="12.75">
      <c r="A102">
        <v>40305</v>
      </c>
      <c r="B102" s="1" t="s">
        <v>245</v>
      </c>
      <c r="C102" s="226">
        <v>0.35142437523286</v>
      </c>
      <c r="D102" s="229">
        <v>0.35142437523286</v>
      </c>
      <c r="E102" s="226">
        <v>0.35142437523286</v>
      </c>
      <c r="F102" s="226">
        <v>0.35142437523286</v>
      </c>
      <c r="G102" s="226">
        <v>0.35142437523286</v>
      </c>
      <c r="H102" s="226">
        <v>0.35142437523286</v>
      </c>
      <c r="I102" s="19">
        <v>0.35142437523286</v>
      </c>
      <c r="J102" s="226">
        <v>0.35142437523286</v>
      </c>
      <c r="K102" s="226"/>
      <c r="L102" s="226"/>
      <c r="M102" s="226"/>
      <c r="N102" s="226"/>
    </row>
    <row r="103" spans="1:14" ht="12.75">
      <c r="A103">
        <v>40400</v>
      </c>
      <c r="B103" s="68" t="s">
        <v>217</v>
      </c>
      <c r="C103" s="226"/>
      <c r="D103" s="229"/>
      <c r="E103" s="226"/>
      <c r="F103" s="226"/>
      <c r="G103" s="226"/>
      <c r="H103" s="226"/>
      <c r="I103" s="19"/>
      <c r="J103" s="226"/>
      <c r="K103" s="226"/>
      <c r="L103" s="226"/>
      <c r="M103" s="226"/>
      <c r="N103" s="226"/>
    </row>
    <row r="104" spans="1:14" ht="12.75">
      <c r="A104">
        <v>40401</v>
      </c>
      <c r="B104" s="1" t="s">
        <v>74</v>
      </c>
      <c r="C104" s="226">
        <v>1.49912664957678</v>
      </c>
      <c r="D104" s="229">
        <v>1.50076109689471</v>
      </c>
      <c r="E104" s="226">
        <v>1.49821442812167</v>
      </c>
      <c r="F104" s="226">
        <v>1.49975696859722</v>
      </c>
      <c r="G104" s="226">
        <v>1.50967004432716</v>
      </c>
      <c r="H104" s="226">
        <v>1.50535232654846</v>
      </c>
      <c r="I104" s="19">
        <v>1.5115718300490997</v>
      </c>
      <c r="J104" s="226">
        <v>1.5115718300490997</v>
      </c>
      <c r="K104" s="226"/>
      <c r="L104" s="226"/>
      <c r="M104" s="226"/>
      <c r="N104" s="226"/>
    </row>
    <row r="105" spans="1:14" ht="12.75">
      <c r="A105">
        <v>40500</v>
      </c>
      <c r="B105" s="68" t="s">
        <v>219</v>
      </c>
      <c r="C105" s="226"/>
      <c r="D105" s="229"/>
      <c r="E105" s="226"/>
      <c r="F105" s="226"/>
      <c r="G105" s="226"/>
      <c r="H105" s="226"/>
      <c r="I105" s="19"/>
      <c r="J105" s="226"/>
      <c r="K105" s="226"/>
      <c r="L105" s="226"/>
      <c r="M105" s="226"/>
      <c r="N105" s="226"/>
    </row>
    <row r="106" spans="1:14" ht="12.75">
      <c r="A106">
        <v>40501</v>
      </c>
      <c r="B106" s="1" t="s">
        <v>76</v>
      </c>
      <c r="C106" s="226">
        <v>1.0085364087020399</v>
      </c>
      <c r="D106" s="229">
        <v>1.0085364087020399</v>
      </c>
      <c r="E106" s="226">
        <v>1.0085364087020399</v>
      </c>
      <c r="F106" s="226">
        <v>1.0085364087020399</v>
      </c>
      <c r="G106" s="226">
        <v>1.01470790521557</v>
      </c>
      <c r="H106" s="226">
        <v>1.01900080320958</v>
      </c>
      <c r="I106" s="19">
        <v>1.02063931344296</v>
      </c>
      <c r="J106" s="226">
        <v>1.02063931344296</v>
      </c>
      <c r="K106" s="226"/>
      <c r="L106" s="226"/>
      <c r="M106" s="226"/>
      <c r="N106" s="226"/>
    </row>
    <row r="107" spans="1:14" ht="12.75">
      <c r="A107">
        <v>40504</v>
      </c>
      <c r="B107" s="1" t="s">
        <v>77</v>
      </c>
      <c r="C107" s="226">
        <v>2.77842541668079</v>
      </c>
      <c r="D107" s="229">
        <v>2.77842541668079</v>
      </c>
      <c r="E107" s="226">
        <v>2.77842541668079</v>
      </c>
      <c r="F107" s="226">
        <v>2.77842541668079</v>
      </c>
      <c r="G107" s="226">
        <v>2.80767766205571</v>
      </c>
      <c r="H107" s="226">
        <v>2.84159285319545</v>
      </c>
      <c r="I107" s="19">
        <v>2.83535139884725</v>
      </c>
      <c r="J107" s="226">
        <v>2.83535139884725</v>
      </c>
      <c r="K107" s="226"/>
      <c r="L107" s="226"/>
      <c r="M107" s="226"/>
      <c r="N107" s="226"/>
    </row>
    <row r="108" spans="1:14" ht="12.75">
      <c r="A108">
        <v>40507</v>
      </c>
      <c r="B108" s="1" t="s">
        <v>246</v>
      </c>
      <c r="C108" s="226">
        <v>73.34749913705787</v>
      </c>
      <c r="D108" s="229">
        <v>73.34749913705787</v>
      </c>
      <c r="E108" s="226">
        <v>73.34749913705787</v>
      </c>
      <c r="F108" s="226">
        <v>73.34749913705787</v>
      </c>
      <c r="G108" s="226">
        <v>81.59996912858726</v>
      </c>
      <c r="H108" s="226">
        <v>81.61052698009296</v>
      </c>
      <c r="I108" s="19">
        <v>81.61052698009296</v>
      </c>
      <c r="J108" s="226">
        <v>81.61052698009296</v>
      </c>
      <c r="K108" s="226"/>
      <c r="L108" s="226"/>
      <c r="M108" s="226"/>
      <c r="N108" s="226"/>
    </row>
    <row r="109" spans="1:14" ht="12.75">
      <c r="A109">
        <v>40600</v>
      </c>
      <c r="B109" s="68" t="s">
        <v>221</v>
      </c>
      <c r="C109" s="226"/>
      <c r="D109" s="229"/>
      <c r="E109" s="226"/>
      <c r="F109" s="226"/>
      <c r="G109" s="226"/>
      <c r="H109" s="226"/>
      <c r="I109" s="19"/>
      <c r="J109" s="226"/>
      <c r="K109" s="226"/>
      <c r="L109" s="226"/>
      <c r="M109" s="226"/>
      <c r="N109" s="226"/>
    </row>
    <row r="110" spans="1:14" ht="12.75">
      <c r="A110">
        <v>40601</v>
      </c>
      <c r="B110" s="1" t="s">
        <v>79</v>
      </c>
      <c r="C110" s="226">
        <v>0.225106396536</v>
      </c>
      <c r="D110" s="229">
        <v>0.225106396536</v>
      </c>
      <c r="E110" s="226">
        <v>0.225106396536</v>
      </c>
      <c r="F110" s="226">
        <v>0.225106396536</v>
      </c>
      <c r="G110" s="226">
        <v>0.225106396536</v>
      </c>
      <c r="H110" s="226">
        <v>0.225106396536</v>
      </c>
      <c r="I110" s="19">
        <v>0.225106396536</v>
      </c>
      <c r="J110" s="226">
        <v>0.225106396536</v>
      </c>
      <c r="K110" s="226"/>
      <c r="L110" s="226"/>
      <c r="M110" s="226"/>
      <c r="N110" s="226"/>
    </row>
    <row r="111" spans="3:14" ht="12.75">
      <c r="C111" s="226">
        <v>43.77861488432429</v>
      </c>
      <c r="D111" s="229">
        <v>44.13138876123609</v>
      </c>
      <c r="E111" s="226">
        <v>44.69297592782442</v>
      </c>
      <c r="F111" s="226">
        <v>44.98014921327565</v>
      </c>
      <c r="G111" s="226">
        <v>45.27854101315351</v>
      </c>
      <c r="H111" s="226">
        <v>45.6133055349922</v>
      </c>
      <c r="I111" s="19">
        <v>46.24459126889837</v>
      </c>
      <c r="J111" s="226">
        <v>46.77543228793486</v>
      </c>
      <c r="K111" s="226"/>
      <c r="L111" s="226"/>
      <c r="M111" s="226"/>
      <c r="N111" s="226"/>
    </row>
  </sheetData>
  <sheetProtection/>
  <mergeCells count="1">
    <mergeCell ref="A1:B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C182"/>
  <sheetViews>
    <sheetView zoomScalePageLayoutView="0" workbookViewId="0" topLeftCell="A1">
      <pane xSplit="1" ySplit="7" topLeftCell="AS11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14.00390625" style="0" customWidth="1"/>
    <col min="2" max="2" width="5.00390625" style="0" customWidth="1"/>
    <col min="3" max="3" width="9.28125" style="0" customWidth="1"/>
    <col min="7" max="7" width="15.7109375" style="0" customWidth="1"/>
    <col min="10" max="10" width="13.421875" style="0" customWidth="1"/>
    <col min="15" max="15" width="11.421875" style="15" customWidth="1"/>
    <col min="18" max="22" width="11.421875" style="15" customWidth="1"/>
    <col min="23" max="23" width="14.140625" style="15" customWidth="1"/>
    <col min="48" max="48" width="4.57421875" style="0" customWidth="1"/>
    <col min="51" max="51" width="14.00390625" style="0" customWidth="1"/>
  </cols>
  <sheetData>
    <row r="1" spans="1:4" ht="12.75">
      <c r="A1" s="154" t="s">
        <v>303</v>
      </c>
      <c r="B1" s="154"/>
      <c r="C1" s="154"/>
      <c r="D1" s="154"/>
    </row>
    <row r="3" spans="1:7" ht="12.75">
      <c r="A3" s="1" t="s">
        <v>80</v>
      </c>
      <c r="B3" s="2" t="s">
        <v>81</v>
      </c>
      <c r="C3" s="2" t="s">
        <v>82</v>
      </c>
      <c r="D3" s="2" t="s">
        <v>83</v>
      </c>
      <c r="E3" s="1" t="s">
        <v>84</v>
      </c>
      <c r="F3" s="3"/>
      <c r="G3" s="1" t="s">
        <v>85</v>
      </c>
    </row>
    <row r="4" spans="1:51" ht="12.75">
      <c r="A4" s="1" t="s">
        <v>86</v>
      </c>
      <c r="B4" s="2" t="s">
        <v>87</v>
      </c>
      <c r="C4" s="3"/>
      <c r="D4" s="2" t="s">
        <v>88</v>
      </c>
      <c r="E4" s="1" t="s">
        <v>0</v>
      </c>
      <c r="F4" s="3"/>
      <c r="G4" s="1" t="s">
        <v>0</v>
      </c>
      <c r="AY4" s="15"/>
    </row>
    <row r="5" spans="1:9" ht="12.75">
      <c r="A5" s="1" t="s">
        <v>89</v>
      </c>
      <c r="B5" s="2" t="s">
        <v>0</v>
      </c>
      <c r="C5" s="2" t="s">
        <v>0</v>
      </c>
      <c r="D5" s="2" t="s">
        <v>90</v>
      </c>
      <c r="E5" s="2" t="s">
        <v>91</v>
      </c>
      <c r="F5" s="2" t="s">
        <v>92</v>
      </c>
      <c r="G5" s="2" t="s">
        <v>91</v>
      </c>
      <c r="I5" t="s">
        <v>93</v>
      </c>
    </row>
    <row r="6" spans="1:55" ht="12.75">
      <c r="A6" s="103" t="s">
        <v>294</v>
      </c>
      <c r="B6" s="104"/>
      <c r="C6" s="126" t="s">
        <v>94</v>
      </c>
      <c r="D6" s="160" t="s">
        <v>95</v>
      </c>
      <c r="E6" s="105"/>
      <c r="F6" s="106" t="s">
        <v>96</v>
      </c>
      <c r="G6" s="105" t="s">
        <v>97</v>
      </c>
      <c r="H6" s="228">
        <v>39264</v>
      </c>
      <c r="I6" s="104" t="s">
        <v>98</v>
      </c>
      <c r="J6" s="104" t="s">
        <v>99</v>
      </c>
      <c r="K6" s="104" t="s">
        <v>100</v>
      </c>
      <c r="L6" s="104" t="s">
        <v>101</v>
      </c>
      <c r="M6" s="104" t="s">
        <v>102</v>
      </c>
      <c r="N6" s="104" t="s">
        <v>103</v>
      </c>
      <c r="O6" s="108" t="s">
        <v>104</v>
      </c>
      <c r="P6" s="104" t="s">
        <v>105</v>
      </c>
      <c r="Q6" s="126" t="s">
        <v>106</v>
      </c>
      <c r="R6" s="108" t="s">
        <v>107</v>
      </c>
      <c r="S6" s="108" t="s">
        <v>108</v>
      </c>
      <c r="T6" s="108" t="s">
        <v>109</v>
      </c>
      <c r="U6" s="108" t="s">
        <v>110</v>
      </c>
      <c r="V6" s="104" t="s">
        <v>111</v>
      </c>
      <c r="W6" s="108"/>
      <c r="X6" s="104" t="s">
        <v>112</v>
      </c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 t="s">
        <v>113</v>
      </c>
      <c r="AT6" s="104" t="s">
        <v>114</v>
      </c>
      <c r="AU6" s="104" t="s">
        <v>115</v>
      </c>
      <c r="AV6" s="104"/>
      <c r="AW6" s="109" t="s">
        <v>113</v>
      </c>
      <c r="AX6" s="109" t="s">
        <v>116</v>
      </c>
      <c r="AY6" s="110" t="s">
        <v>117</v>
      </c>
      <c r="AZ6" s="17"/>
      <c r="BA6" s="17"/>
      <c r="BB6" s="17"/>
      <c r="BC6" s="17"/>
    </row>
    <row r="7" spans="1:51" ht="12.75">
      <c r="A7" s="111" t="s">
        <v>118</v>
      </c>
      <c r="B7" s="112"/>
      <c r="C7" s="142">
        <v>1</v>
      </c>
      <c r="D7" s="161" t="s">
        <v>293</v>
      </c>
      <c r="E7" s="115">
        <f>(E9+E61+E74+E92)</f>
        <v>8920.938825598163</v>
      </c>
      <c r="F7" s="115"/>
      <c r="G7" s="116" t="e">
        <f>(G9+G61+G74+G92)</f>
        <v>#VALUE!</v>
      </c>
      <c r="H7" s="117"/>
      <c r="I7" s="118" t="e">
        <f>G7-J7</f>
        <v>#VALUE!</v>
      </c>
      <c r="J7" s="185">
        <v>317.34</v>
      </c>
      <c r="K7" s="113">
        <f>SUM(K11:K113)</f>
        <v>0.6419057022530499</v>
      </c>
      <c r="L7" s="113">
        <f>SUM(L11:L113)</f>
        <v>1.0000000000000002</v>
      </c>
      <c r="M7" s="115">
        <f>SUM(M11:M113)</f>
        <v>28250.370432445954</v>
      </c>
      <c r="N7" s="120">
        <f>SUM(N11:N113)</f>
        <v>1.0000000000000004</v>
      </c>
      <c r="O7" s="121" t="e">
        <f>G7-J7</f>
        <v>#VALUE!</v>
      </c>
      <c r="P7" s="117"/>
      <c r="Q7" s="134"/>
      <c r="R7" s="121"/>
      <c r="S7" s="121"/>
      <c r="T7" s="115" t="e">
        <f>SUM(T11:T113)</f>
        <v>#VALUE!</v>
      </c>
      <c r="U7" s="115" t="e">
        <f>SUM(U11:U113)</f>
        <v>#VALUE!</v>
      </c>
      <c r="V7" s="121" t="e">
        <f>O7-T7</f>
        <v>#VALUE!</v>
      </c>
      <c r="W7" s="115"/>
      <c r="X7" s="117"/>
      <c r="Y7" s="115" t="e">
        <f>SUM(Y11:Y113)</f>
        <v>#VALUE!</v>
      </c>
      <c r="Z7" s="115" t="e">
        <f>SUM(Z11:Z113)</f>
        <v>#VALUE!</v>
      </c>
      <c r="AA7" s="122" t="e">
        <f>$O7-Y7</f>
        <v>#VALUE!</v>
      </c>
      <c r="AB7" s="117"/>
      <c r="AC7" s="117"/>
      <c r="AD7" s="115" t="e">
        <f>SUM(AD11:AD113)</f>
        <v>#VALUE!</v>
      </c>
      <c r="AE7" s="115" t="e">
        <f>SUM(AE11:AE113)</f>
        <v>#VALUE!</v>
      </c>
      <c r="AF7" s="122" t="e">
        <f>$O7-AD7</f>
        <v>#VALUE!</v>
      </c>
      <c r="AG7" s="117"/>
      <c r="AH7" s="117"/>
      <c r="AI7" s="115" t="e">
        <f>SUM(AI11:AI113)</f>
        <v>#VALUE!</v>
      </c>
      <c r="AJ7" s="115" t="e">
        <f>SUM(AJ11:AJ113)</f>
        <v>#VALUE!</v>
      </c>
      <c r="AK7" s="122" t="e">
        <f>$O7-AI7</f>
        <v>#VALUE!</v>
      </c>
      <c r="AL7" s="117"/>
      <c r="AM7" s="117"/>
      <c r="AN7" s="115" t="e">
        <f>SUM(AN11:AN113)</f>
        <v>#VALUE!</v>
      </c>
      <c r="AO7" s="115" t="e">
        <f>SUM(AO11:AO113)</f>
        <v>#VALUE!</v>
      </c>
      <c r="AP7" s="122" t="e">
        <f>$O7-AN7</f>
        <v>#VALUE!</v>
      </c>
      <c r="AQ7" s="117"/>
      <c r="AR7" s="117"/>
      <c r="AS7" s="115" t="e">
        <f>SUM(AS11:AS113)</f>
        <v>#VALUE!</v>
      </c>
      <c r="AT7" s="115" t="e">
        <f>SUM(AT11:AT113)</f>
        <v>#VALUE!</v>
      </c>
      <c r="AU7" s="122" t="e">
        <f>$O7-AS7</f>
        <v>#VALUE!</v>
      </c>
      <c r="AV7" s="122"/>
      <c r="AW7" s="117" t="e">
        <f>SUM(AW11:AW113)</f>
        <v>#VALUE!</v>
      </c>
      <c r="AX7" s="121" t="e">
        <f>SUM(AX11:AX113)</f>
        <v>#VALUE!</v>
      </c>
      <c r="AY7" s="123" t="e">
        <f>G7-J7</f>
        <v>#VALUE!</v>
      </c>
    </row>
    <row r="8" spans="1:52" ht="12.75">
      <c r="A8" s="4"/>
      <c r="B8" s="3"/>
      <c r="C8" s="143">
        <f>(C9+C61+C74+C92)</f>
        <v>0.9999999999999996</v>
      </c>
      <c r="D8" s="162"/>
      <c r="E8" s="3"/>
      <c r="F8" s="3"/>
      <c r="G8" s="6"/>
      <c r="AY8" s="15" t="e">
        <f>SUM(AY9+AY61+AY74+AY92)</f>
        <v>#VALUE!</v>
      </c>
      <c r="AZ8" t="s">
        <v>0</v>
      </c>
    </row>
    <row r="9" spans="1:52" ht="12.75">
      <c r="A9" s="1" t="s">
        <v>1</v>
      </c>
      <c r="B9" s="3"/>
      <c r="C9" s="144">
        <f>(C10+C14+C18+C21+C24+C28+C36+C39+C43+C50+C53+C56+C58)</f>
        <v>0.5042492906605539</v>
      </c>
      <c r="D9" s="162"/>
      <c r="E9" s="5">
        <f>(E10+E14+E18+E21+E24+E28+E36+E39+E43+E50+E53+E56+E58)</f>
        <v>3944.3065358108342</v>
      </c>
      <c r="F9" s="5"/>
      <c r="G9" s="6" t="e">
        <f>(G10+G14+G18+G21+G24+G28+G36+G39+G43+G50+G53+G56+G58)</f>
        <v>#VALUE!</v>
      </c>
      <c r="AY9" s="15" t="e">
        <f>SUM(AY10+AY14+AY18+AY21+AY24+AY28+AY36+AY39+AY43+AY50+AY53+AY56+AY58)</f>
        <v>#VALUE!</v>
      </c>
      <c r="AZ9" t="s">
        <v>0</v>
      </c>
    </row>
    <row r="10" spans="1:52" ht="12.75">
      <c r="A10" s="1" t="s">
        <v>2</v>
      </c>
      <c r="B10" s="3"/>
      <c r="C10" s="144">
        <f>SUM(C11:C13)</f>
        <v>0.0909539465282808</v>
      </c>
      <c r="D10" s="162"/>
      <c r="E10" s="5">
        <f>SUM(E11:E13)</f>
        <v>724.6565953296616</v>
      </c>
      <c r="F10" s="7"/>
      <c r="G10" s="6">
        <f>SUM(G11:G13)</f>
        <v>27.431868678440768</v>
      </c>
      <c r="I10" t="s">
        <v>0</v>
      </c>
      <c r="K10" s="4"/>
      <c r="AB10" t="s">
        <v>0</v>
      </c>
      <c r="AY10" s="15" t="e">
        <f>SUM(AW11:AX13)</f>
        <v>#VALUE!</v>
      </c>
      <c r="AZ10" t="s">
        <v>0</v>
      </c>
    </row>
    <row r="11" spans="1:51" ht="12.75">
      <c r="A11" s="1" t="s">
        <v>3</v>
      </c>
      <c r="B11" s="1" t="s">
        <v>119</v>
      </c>
      <c r="C11" s="144">
        <v>0.05936561606387814</v>
      </c>
      <c r="D11" s="163">
        <v>19.969700075450806</v>
      </c>
      <c r="E11" s="5">
        <f>F11*$D11</f>
        <v>349.3858599500827</v>
      </c>
      <c r="F11" s="5">
        <v>17.495799067087166</v>
      </c>
      <c r="G11" s="6">
        <f>H11*$D11</f>
        <v>14.009881168778348</v>
      </c>
      <c r="H11" s="226">
        <v>0.70155691451776</v>
      </c>
      <c r="I11" s="226">
        <v>0.70155691451776</v>
      </c>
      <c r="J11" s="13">
        <f>I11-H11</f>
        <v>0</v>
      </c>
      <c r="K11" s="148">
        <v>0.05936561606387814</v>
      </c>
      <c r="L11" s="133">
        <v>0.09248339102691945</v>
      </c>
      <c r="M11" s="133">
        <v>10.812752310400542</v>
      </c>
      <c r="N11" s="133">
        <v>0.00038274727534127985</v>
      </c>
      <c r="O11" s="15" t="e">
        <f>N11*$O$7</f>
        <v>#VALUE!</v>
      </c>
      <c r="P11" s="15" t="e">
        <f aca="true" t="shared" si="0" ref="P11:P27">O11/I11</f>
        <v>#VALUE!</v>
      </c>
      <c r="Q11" s="5">
        <v>19.969700075450806</v>
      </c>
      <c r="R11" s="15" t="e">
        <f>IF(P11&lt;Q11,P11*H11,0)</f>
        <v>#VALUE!</v>
      </c>
      <c r="S11" s="15" t="e">
        <f>IF(P11&lt;Q11,P1:P11,0)</f>
        <v>#VALUE!</v>
      </c>
      <c r="T11" s="15" t="e">
        <f>IF(S11=0,Q11*I11,0)</f>
        <v>#VALUE!</v>
      </c>
      <c r="U11" s="15" t="e">
        <f>IF(S11=0,0,S11*$I11)</f>
        <v>#VALUE!</v>
      </c>
      <c r="V11" s="15" t="e">
        <f aca="true" t="shared" si="1" ref="V11:V42">$V$7/$U$7*U11</f>
        <v>#VALUE!</v>
      </c>
      <c r="W11" s="16" t="e">
        <f>IF(I11=0,0,V11/I11)</f>
        <v>#VALUE!</v>
      </c>
      <c r="X11" t="e">
        <f>IF(W11&lt;Q11,W11,0)</f>
        <v>#VALUE!</v>
      </c>
      <c r="Y11" t="e">
        <f>IF(X11=0,$Q11*$I11,0)</f>
        <v>#VALUE!</v>
      </c>
      <c r="Z11" t="e">
        <f>IF(X11=0,0,$I11*X11)</f>
        <v>#VALUE!</v>
      </c>
      <c r="AA11" t="e">
        <f>$AA$7/$Z$7*Z11</f>
        <v>#VALUE!</v>
      </c>
      <c r="AB11" t="e">
        <f>IF($I11=0,0,AA11/$I11)</f>
        <v>#VALUE!</v>
      </c>
      <c r="AC11" t="e">
        <f>IF(AB11&lt;$Q11,AB11,0)</f>
        <v>#VALUE!</v>
      </c>
      <c r="AD11" t="e">
        <f>IF(AC11=0,$Q11*$I11,0)</f>
        <v>#VALUE!</v>
      </c>
      <c r="AE11" s="15" t="e">
        <f>IF(AC11=0,0,AC11*$I11)</f>
        <v>#VALUE!</v>
      </c>
      <c r="AF11" t="e">
        <f>$AF$7/$AE$7*AE11</f>
        <v>#VALUE!</v>
      </c>
      <c r="AG11" t="e">
        <f>IF($I11=0,0,AF11/$I11)</f>
        <v>#VALUE!</v>
      </c>
      <c r="AH11" t="e">
        <f>IF(AG11&lt;$Q11,AG11,0)</f>
        <v>#VALUE!</v>
      </c>
      <c r="AI11" t="e">
        <f>IF(AH11=0,$Q11*$I11,0)</f>
        <v>#VALUE!</v>
      </c>
      <c r="AJ11" s="15" t="e">
        <f>IF(AH11=0,0,AH11*$I11)</f>
        <v>#VALUE!</v>
      </c>
      <c r="AK11" t="e">
        <f>$AK$7/$AJ$7*AJ11</f>
        <v>#VALUE!</v>
      </c>
      <c r="AL11" t="e">
        <f>IF($I11=0,0,AK11/$I11)</f>
        <v>#VALUE!</v>
      </c>
      <c r="AM11" t="e">
        <f>IF(AL11&lt;$Q11,AL11,0)</f>
        <v>#VALUE!</v>
      </c>
      <c r="AN11" t="e">
        <f>IF(AM11=0,$Q11*$I11,0)</f>
        <v>#VALUE!</v>
      </c>
      <c r="AO11" s="15" t="e">
        <f>IF(AM11=0,0,AM11*$I11)</f>
        <v>#VALUE!</v>
      </c>
      <c r="AP11" t="e">
        <f>$AP$7/$AO$7*AO11</f>
        <v>#VALUE!</v>
      </c>
      <c r="AQ11" t="e">
        <f>IF($I11=0,0,AP11/$I11)</f>
        <v>#VALUE!</v>
      </c>
      <c r="AR11" t="e">
        <f>IF(AQ11&lt;$Q11,AQ11,0)</f>
        <v>#VALUE!</v>
      </c>
      <c r="AS11" t="e">
        <f>IF(AR11=0,$Q11*$I11,0)</f>
        <v>#VALUE!</v>
      </c>
      <c r="AT11" s="15" t="e">
        <f>IF(AR11=0,0,AR11*$I11)</f>
        <v>#VALUE!</v>
      </c>
      <c r="AU11" t="e">
        <f>$AU$7/$AT$7*AT11</f>
        <v>#VALUE!</v>
      </c>
      <c r="AW11" t="e">
        <f aca="true" t="shared" si="2" ref="AW11:AW42">AS11</f>
        <v>#VALUE!</v>
      </c>
      <c r="AX11" s="15" t="e">
        <f aca="true" t="shared" si="3" ref="AX11:AX42">AU11</f>
        <v>#VALUE!</v>
      </c>
      <c r="AY11" s="15"/>
    </row>
    <row r="12" spans="1:51" ht="12.75">
      <c r="A12" s="1" t="s">
        <v>4</v>
      </c>
      <c r="B12" s="1" t="s">
        <v>119</v>
      </c>
      <c r="C12" s="144">
        <v>0.009506299129867982</v>
      </c>
      <c r="D12" s="163">
        <v>3.1977760029764464</v>
      </c>
      <c r="E12" s="5">
        <f>F12*$D12</f>
        <v>88.3100812965274</v>
      </c>
      <c r="F12" s="5">
        <v>27.616093564505324</v>
      </c>
      <c r="G12" s="6">
        <f>H12*$D12</f>
        <v>2.115257567340995</v>
      </c>
      <c r="H12" s="226">
        <v>0.6614777161915475</v>
      </c>
      <c r="I12" s="226">
        <v>0.6614777161915475</v>
      </c>
      <c r="J12" s="13">
        <f aca="true" t="shared" si="4" ref="J12:J27">I12-H12</f>
        <v>0</v>
      </c>
      <c r="K12" s="148">
        <v>0.009506299129867982</v>
      </c>
      <c r="L12" s="133">
        <v>0.014809494753670908</v>
      </c>
      <c r="M12" s="133">
        <v>67.52424823622863</v>
      </c>
      <c r="N12" s="133">
        <v>0.0023902075336568354</v>
      </c>
      <c r="O12" s="15" t="e">
        <f aca="true" t="shared" si="5" ref="O12:O27">N12*$O$7</f>
        <v>#VALUE!</v>
      </c>
      <c r="P12" s="15" t="e">
        <f t="shared" si="0"/>
        <v>#VALUE!</v>
      </c>
      <c r="Q12" s="5">
        <v>3.1977760029764464</v>
      </c>
      <c r="R12" s="15" t="e">
        <f aca="true" t="shared" si="6" ref="R12:R27">IF(P12&lt;Q12,P12*H12,0)</f>
        <v>#VALUE!</v>
      </c>
      <c r="S12" s="15" t="e">
        <f>IF(P12&lt;Q12,P2:P12,0)</f>
        <v>#VALUE!</v>
      </c>
      <c r="T12" s="15" t="e">
        <f aca="true" t="shared" si="7" ref="T12:T27">IF(S12=0,Q12*I12,0)</f>
        <v>#VALUE!</v>
      </c>
      <c r="U12" s="15" t="e">
        <f aca="true" t="shared" si="8" ref="U12:U27">IF(S12=0,0,S12*I12)</f>
        <v>#VALUE!</v>
      </c>
      <c r="V12" s="15" t="e">
        <f t="shared" si="1"/>
        <v>#VALUE!</v>
      </c>
      <c r="W12" s="16" t="e">
        <f aca="true" t="shared" si="9" ref="W12:W27">IF(I12=0,0,V12/I12)</f>
        <v>#VALUE!</v>
      </c>
      <c r="X12" t="e">
        <f aca="true" t="shared" si="10" ref="X12:X27">IF(W12&lt;Q12,W12,0)</f>
        <v>#VALUE!</v>
      </c>
      <c r="Y12" t="e">
        <f aca="true" t="shared" si="11" ref="Y12:Y27">IF(X12=0,Q12*I12,0)</f>
        <v>#VALUE!</v>
      </c>
      <c r="Z12" t="e">
        <f aca="true" t="shared" si="12" ref="Z12:Z27">IF(X12=0,0,I12*X12)</f>
        <v>#VALUE!</v>
      </c>
      <c r="AA12" t="e">
        <f aca="true" t="shared" si="13" ref="AA12:AA27">$AA$7/$Z$7*Z12</f>
        <v>#VALUE!</v>
      </c>
      <c r="AB12" t="e">
        <f aca="true" t="shared" si="14" ref="AB12:AB27">IF(I12=0,0,AA12/I12)</f>
        <v>#VALUE!</v>
      </c>
      <c r="AC12" t="e">
        <f aca="true" t="shared" si="15" ref="AC12:AC27">IF(AB12&lt;Q12,AB12,0)</f>
        <v>#VALUE!</v>
      </c>
      <c r="AD12" t="e">
        <f aca="true" t="shared" si="16" ref="AD12:AD27">IF(AC12=0,$Q12*$I12,0)</f>
        <v>#VALUE!</v>
      </c>
      <c r="AE12" s="15" t="e">
        <f aca="true" t="shared" si="17" ref="AE12:AE27">IF(AC12=0,0,AC12*$I12)</f>
        <v>#VALUE!</v>
      </c>
      <c r="AF12" t="e">
        <f aca="true" t="shared" si="18" ref="AF12:AF27">$AF$7/$AE$7*AE12</f>
        <v>#VALUE!</v>
      </c>
      <c r="AG12" t="e">
        <f aca="true" t="shared" si="19" ref="AG12:AG27">IF($I12=0,0,AF12/$I12)</f>
        <v>#VALUE!</v>
      </c>
      <c r="AH12" t="e">
        <f aca="true" t="shared" si="20" ref="AH12:AH27">IF(AG12&lt;$Q12,AG12,0)</f>
        <v>#VALUE!</v>
      </c>
      <c r="AI12" t="e">
        <f aca="true" t="shared" si="21" ref="AI12:AI27">IF(AH12=0,$Q12*$I12,0)</f>
        <v>#VALUE!</v>
      </c>
      <c r="AJ12" s="15" t="e">
        <f aca="true" t="shared" si="22" ref="AJ12:AJ27">IF(AH12=0,0,AH12*$I12)</f>
        <v>#VALUE!</v>
      </c>
      <c r="AK12" t="e">
        <f aca="true" t="shared" si="23" ref="AK12:AK27">$AK$7/$AJ$7*AJ12</f>
        <v>#VALUE!</v>
      </c>
      <c r="AL12" t="e">
        <f aca="true" t="shared" si="24" ref="AL12:AL27">IF($I12=0,0,AK12/$I12)</f>
        <v>#VALUE!</v>
      </c>
      <c r="AM12" t="e">
        <f aca="true" t="shared" si="25" ref="AM12:AM27">IF(AL12&lt;$Q12,AL12,0)</f>
        <v>#VALUE!</v>
      </c>
      <c r="AN12" t="e">
        <f aca="true" t="shared" si="26" ref="AN12:AN27">IF(AM12=0,$Q12*$I12,0)</f>
        <v>#VALUE!</v>
      </c>
      <c r="AO12" s="15" t="e">
        <f aca="true" t="shared" si="27" ref="AO12:AO27">IF(AM12=0,0,AM12*$I12)</f>
        <v>#VALUE!</v>
      </c>
      <c r="AP12" t="e">
        <f aca="true" t="shared" si="28" ref="AP12:AP27">$AP$7/$AO$7*AO12</f>
        <v>#VALUE!</v>
      </c>
      <c r="AQ12" t="e">
        <f aca="true" t="shared" si="29" ref="AQ12:AQ27">IF($I12=0,0,AP12/$I12)</f>
        <v>#VALUE!</v>
      </c>
      <c r="AR12" t="e">
        <f aca="true" t="shared" si="30" ref="AR12:AR27">IF(AQ12&lt;$Q12,AQ12,0)</f>
        <v>#VALUE!</v>
      </c>
      <c r="AS12" t="e">
        <f aca="true" t="shared" si="31" ref="AS12:AS27">IF(AR12=0,$Q12*$I12,0)</f>
        <v>#VALUE!</v>
      </c>
      <c r="AT12" s="15" t="e">
        <f aca="true" t="shared" si="32" ref="AT12:AT27">IF(AR12=0,0,AR12*$I12)</f>
        <v>#VALUE!</v>
      </c>
      <c r="AU12" t="e">
        <f aca="true" t="shared" si="33" ref="AU12:AU27">$AU$7/$AT$7*AT12</f>
        <v>#VALUE!</v>
      </c>
      <c r="AW12" t="e">
        <f t="shared" si="2"/>
        <v>#VALUE!</v>
      </c>
      <c r="AX12" s="15" t="e">
        <f t="shared" si="3"/>
        <v>#VALUE!</v>
      </c>
      <c r="AY12" s="15"/>
    </row>
    <row r="13" spans="1:51" ht="12.75">
      <c r="A13" s="1" t="s">
        <v>5</v>
      </c>
      <c r="B13" s="1" t="s">
        <v>119</v>
      </c>
      <c r="C13" s="144">
        <v>0.022082031334534676</v>
      </c>
      <c r="D13" s="163">
        <v>7.428063112035649</v>
      </c>
      <c r="E13" s="5">
        <f>F13*$D13</f>
        <v>286.9606540830515</v>
      </c>
      <c r="F13" s="5">
        <v>38.63196229688609</v>
      </c>
      <c r="G13" s="6">
        <f>H13*$D13</f>
        <v>11.306729942321425</v>
      </c>
      <c r="H13" s="226">
        <v>1.52216395738496</v>
      </c>
      <c r="I13" s="226">
        <v>1.52216395738496</v>
      </c>
      <c r="J13" s="13">
        <f t="shared" si="4"/>
        <v>0</v>
      </c>
      <c r="K13" s="148">
        <v>0.022082031334534676</v>
      </c>
      <c r="L13" s="133">
        <v>0.034400740259866974</v>
      </c>
      <c r="M13" s="133">
        <v>29.069141897700167</v>
      </c>
      <c r="N13" s="133">
        <v>0.0010289826806771298</v>
      </c>
      <c r="O13" s="15" t="e">
        <f t="shared" si="5"/>
        <v>#VALUE!</v>
      </c>
      <c r="P13" s="15" t="e">
        <f t="shared" si="0"/>
        <v>#VALUE!</v>
      </c>
      <c r="Q13" s="5">
        <v>7.428063112035649</v>
      </c>
      <c r="R13" s="15" t="e">
        <f t="shared" si="6"/>
        <v>#VALUE!</v>
      </c>
      <c r="S13" s="15" t="e">
        <f aca="true" t="shared" si="34" ref="S13:S27">IF(P13&lt;Q13,P3:P13,0)</f>
        <v>#VALUE!</v>
      </c>
      <c r="T13" s="15" t="e">
        <f t="shared" si="7"/>
        <v>#VALUE!</v>
      </c>
      <c r="U13" s="15" t="e">
        <f t="shared" si="8"/>
        <v>#VALUE!</v>
      </c>
      <c r="V13" s="15" t="e">
        <f t="shared" si="1"/>
        <v>#VALUE!</v>
      </c>
      <c r="W13" s="16" t="e">
        <f t="shared" si="9"/>
        <v>#VALUE!</v>
      </c>
      <c r="X13" t="e">
        <f t="shared" si="10"/>
        <v>#VALUE!</v>
      </c>
      <c r="Y13" t="e">
        <f t="shared" si="11"/>
        <v>#VALUE!</v>
      </c>
      <c r="Z13" t="e">
        <f t="shared" si="12"/>
        <v>#VALUE!</v>
      </c>
      <c r="AA13" t="e">
        <f t="shared" si="13"/>
        <v>#VALUE!</v>
      </c>
      <c r="AB13" t="e">
        <f t="shared" si="14"/>
        <v>#VALUE!</v>
      </c>
      <c r="AC13" t="e">
        <f t="shared" si="15"/>
        <v>#VALUE!</v>
      </c>
      <c r="AD13" t="e">
        <f t="shared" si="16"/>
        <v>#VALUE!</v>
      </c>
      <c r="AE13" s="15" t="e">
        <f t="shared" si="17"/>
        <v>#VALUE!</v>
      </c>
      <c r="AF13" t="e">
        <f t="shared" si="18"/>
        <v>#VALUE!</v>
      </c>
      <c r="AG13" t="e">
        <f t="shared" si="19"/>
        <v>#VALUE!</v>
      </c>
      <c r="AH13" t="e">
        <f t="shared" si="20"/>
        <v>#VALUE!</v>
      </c>
      <c r="AI13" t="e">
        <f t="shared" si="21"/>
        <v>#VALUE!</v>
      </c>
      <c r="AJ13" s="15" t="e">
        <f t="shared" si="22"/>
        <v>#VALUE!</v>
      </c>
      <c r="AK13" t="e">
        <f t="shared" si="23"/>
        <v>#VALUE!</v>
      </c>
      <c r="AL13" t="e">
        <f t="shared" si="24"/>
        <v>#VALUE!</v>
      </c>
      <c r="AM13" t="e">
        <f t="shared" si="25"/>
        <v>#VALUE!</v>
      </c>
      <c r="AN13" t="e">
        <f t="shared" si="26"/>
        <v>#VALUE!</v>
      </c>
      <c r="AO13" s="15" t="e">
        <f t="shared" si="27"/>
        <v>#VALUE!</v>
      </c>
      <c r="AP13" t="e">
        <f t="shared" si="28"/>
        <v>#VALUE!</v>
      </c>
      <c r="AQ13" t="e">
        <f t="shared" si="29"/>
        <v>#VALUE!</v>
      </c>
      <c r="AR13" t="e">
        <f t="shared" si="30"/>
        <v>#VALUE!</v>
      </c>
      <c r="AS13" t="e">
        <f t="shared" si="31"/>
        <v>#VALUE!</v>
      </c>
      <c r="AT13" s="15" t="e">
        <f t="shared" si="32"/>
        <v>#VALUE!</v>
      </c>
      <c r="AU13" t="e">
        <f t="shared" si="33"/>
        <v>#VALUE!</v>
      </c>
      <c r="AW13" t="e">
        <f t="shared" si="2"/>
        <v>#VALUE!</v>
      </c>
      <c r="AX13" s="15" t="e">
        <f t="shared" si="3"/>
        <v>#VALUE!</v>
      </c>
      <c r="AY13" s="15"/>
    </row>
    <row r="14" spans="1:51" ht="12.75">
      <c r="A14" s="1" t="s">
        <v>6</v>
      </c>
      <c r="B14" s="3"/>
      <c r="C14" s="144">
        <f>SUM(C15:C17)</f>
        <v>0.02367107879239181</v>
      </c>
      <c r="D14" s="163"/>
      <c r="E14" s="5">
        <f>SUM(E15:E17)</f>
        <v>740.7168671464403</v>
      </c>
      <c r="F14" s="3"/>
      <c r="G14" s="6">
        <f>SUM(G15:G17)</f>
        <v>23.778716556667305</v>
      </c>
      <c r="H14" s="226"/>
      <c r="I14" s="226"/>
      <c r="J14" s="13">
        <f t="shared" si="4"/>
        <v>0</v>
      </c>
      <c r="K14" s="148"/>
      <c r="L14" s="133"/>
      <c r="M14" s="133"/>
      <c r="N14" s="133"/>
      <c r="P14" s="15"/>
      <c r="Q14" s="5"/>
      <c r="T14" s="15">
        <f t="shared" si="7"/>
        <v>0</v>
      </c>
      <c r="U14" s="15">
        <f t="shared" si="8"/>
        <v>0</v>
      </c>
      <c r="V14" s="15" t="e">
        <f t="shared" si="1"/>
        <v>#VALUE!</v>
      </c>
      <c r="W14" s="16">
        <f t="shared" si="9"/>
        <v>0</v>
      </c>
      <c r="X14">
        <f t="shared" si="10"/>
        <v>0</v>
      </c>
      <c r="Y14">
        <f t="shared" si="11"/>
        <v>0</v>
      </c>
      <c r="Z14">
        <f t="shared" si="12"/>
        <v>0</v>
      </c>
      <c r="AA14" t="e">
        <f t="shared" si="13"/>
        <v>#VALUE!</v>
      </c>
      <c r="AB14">
        <f t="shared" si="14"/>
        <v>0</v>
      </c>
      <c r="AC14">
        <f t="shared" si="15"/>
        <v>0</v>
      </c>
      <c r="AD14">
        <f t="shared" si="16"/>
        <v>0</v>
      </c>
      <c r="AE14" s="15">
        <f t="shared" si="17"/>
        <v>0</v>
      </c>
      <c r="AF14" t="e">
        <f t="shared" si="18"/>
        <v>#VALUE!</v>
      </c>
      <c r="AG14">
        <f t="shared" si="19"/>
        <v>0</v>
      </c>
      <c r="AH14">
        <f t="shared" si="20"/>
        <v>0</v>
      </c>
      <c r="AI14">
        <f t="shared" si="21"/>
        <v>0</v>
      </c>
      <c r="AJ14" s="15">
        <f t="shared" si="22"/>
        <v>0</v>
      </c>
      <c r="AK14" t="e">
        <f t="shared" si="23"/>
        <v>#VALUE!</v>
      </c>
      <c r="AL14">
        <f t="shared" si="24"/>
        <v>0</v>
      </c>
      <c r="AM14">
        <f t="shared" si="25"/>
        <v>0</v>
      </c>
      <c r="AN14">
        <f t="shared" si="26"/>
        <v>0</v>
      </c>
      <c r="AO14" s="15">
        <f t="shared" si="27"/>
        <v>0</v>
      </c>
      <c r="AP14" t="e">
        <f t="shared" si="28"/>
        <v>#VALUE!</v>
      </c>
      <c r="AQ14">
        <f t="shared" si="29"/>
        <v>0</v>
      </c>
      <c r="AR14">
        <f t="shared" si="30"/>
        <v>0</v>
      </c>
      <c r="AS14">
        <f t="shared" si="31"/>
        <v>0</v>
      </c>
      <c r="AT14" s="15">
        <f t="shared" si="32"/>
        <v>0</v>
      </c>
      <c r="AU14" t="e">
        <f t="shared" si="33"/>
        <v>#VALUE!</v>
      </c>
      <c r="AW14">
        <f t="shared" si="2"/>
        <v>0</v>
      </c>
      <c r="AX14" s="15" t="e">
        <f t="shared" si="3"/>
        <v>#VALUE!</v>
      </c>
      <c r="AY14" s="15" t="e">
        <f>SUM(AW15:AX17)</f>
        <v>#VALUE!</v>
      </c>
    </row>
    <row r="15" spans="1:51" ht="12.75">
      <c r="A15" s="1" t="s">
        <v>7</v>
      </c>
      <c r="B15" s="1" t="s">
        <v>119</v>
      </c>
      <c r="C15" s="144">
        <v>0.008044809897158644</v>
      </c>
      <c r="D15" s="163">
        <v>2.7061530135122718</v>
      </c>
      <c r="E15" s="5">
        <f>F15*$D15</f>
        <v>221.16921524322348</v>
      </c>
      <c r="F15" s="5">
        <v>81.72827409939084</v>
      </c>
      <c r="G15" s="6">
        <f>H15*$D15</f>
        <v>6.449698171718891</v>
      </c>
      <c r="H15" s="226">
        <v>2.38334570865523</v>
      </c>
      <c r="I15" s="226">
        <v>2.38334570865523</v>
      </c>
      <c r="J15" s="13">
        <f t="shared" si="4"/>
        <v>0</v>
      </c>
      <c r="K15" s="148">
        <v>0.008044809897158644</v>
      </c>
      <c r="L15" s="133">
        <v>0.012532697355580193</v>
      </c>
      <c r="M15" s="133">
        <v>79.79128288410709</v>
      </c>
      <c r="N15" s="133">
        <v>0.002824433154776111</v>
      </c>
      <c r="O15" s="15" t="e">
        <f t="shared" si="5"/>
        <v>#VALUE!</v>
      </c>
      <c r="P15" s="15" t="e">
        <f t="shared" si="0"/>
        <v>#VALUE!</v>
      </c>
      <c r="Q15" s="5">
        <v>2.7061530135122718</v>
      </c>
      <c r="R15" s="15" t="e">
        <f t="shared" si="6"/>
        <v>#VALUE!</v>
      </c>
      <c r="S15" s="15" t="e">
        <f t="shared" si="34"/>
        <v>#VALUE!</v>
      </c>
      <c r="T15" s="15" t="e">
        <f t="shared" si="7"/>
        <v>#VALUE!</v>
      </c>
      <c r="U15" s="15" t="e">
        <f t="shared" si="8"/>
        <v>#VALUE!</v>
      </c>
      <c r="V15" s="15" t="e">
        <f t="shared" si="1"/>
        <v>#VALUE!</v>
      </c>
      <c r="W15" s="16" t="e">
        <f t="shared" si="9"/>
        <v>#VALUE!</v>
      </c>
      <c r="X15" t="e">
        <f t="shared" si="10"/>
        <v>#VALUE!</v>
      </c>
      <c r="Y15" t="e">
        <f t="shared" si="11"/>
        <v>#VALUE!</v>
      </c>
      <c r="Z15" t="e">
        <f t="shared" si="12"/>
        <v>#VALUE!</v>
      </c>
      <c r="AA15" t="e">
        <f t="shared" si="13"/>
        <v>#VALUE!</v>
      </c>
      <c r="AB15" t="e">
        <f t="shared" si="14"/>
        <v>#VALUE!</v>
      </c>
      <c r="AC15" t="e">
        <f t="shared" si="15"/>
        <v>#VALUE!</v>
      </c>
      <c r="AD15" t="e">
        <f t="shared" si="16"/>
        <v>#VALUE!</v>
      </c>
      <c r="AE15" s="15" t="e">
        <f t="shared" si="17"/>
        <v>#VALUE!</v>
      </c>
      <c r="AF15" t="e">
        <f t="shared" si="18"/>
        <v>#VALUE!</v>
      </c>
      <c r="AG15" t="e">
        <f t="shared" si="19"/>
        <v>#VALUE!</v>
      </c>
      <c r="AH15" t="e">
        <f t="shared" si="20"/>
        <v>#VALUE!</v>
      </c>
      <c r="AI15" t="e">
        <f t="shared" si="21"/>
        <v>#VALUE!</v>
      </c>
      <c r="AJ15" s="15" t="e">
        <f t="shared" si="22"/>
        <v>#VALUE!</v>
      </c>
      <c r="AK15" t="e">
        <f t="shared" si="23"/>
        <v>#VALUE!</v>
      </c>
      <c r="AL15" t="e">
        <f t="shared" si="24"/>
        <v>#VALUE!</v>
      </c>
      <c r="AM15" t="e">
        <f t="shared" si="25"/>
        <v>#VALUE!</v>
      </c>
      <c r="AN15" t="e">
        <f t="shared" si="26"/>
        <v>#VALUE!</v>
      </c>
      <c r="AO15" s="15" t="e">
        <f t="shared" si="27"/>
        <v>#VALUE!</v>
      </c>
      <c r="AP15" t="e">
        <f t="shared" si="28"/>
        <v>#VALUE!</v>
      </c>
      <c r="AQ15" t="e">
        <f t="shared" si="29"/>
        <v>#VALUE!</v>
      </c>
      <c r="AR15" t="e">
        <f t="shared" si="30"/>
        <v>#VALUE!</v>
      </c>
      <c r="AS15" t="e">
        <f t="shared" si="31"/>
        <v>#VALUE!</v>
      </c>
      <c r="AT15" s="15" t="e">
        <f t="shared" si="32"/>
        <v>#VALUE!</v>
      </c>
      <c r="AU15" t="e">
        <f t="shared" si="33"/>
        <v>#VALUE!</v>
      </c>
      <c r="AW15" t="e">
        <f t="shared" si="2"/>
        <v>#VALUE!</v>
      </c>
      <c r="AX15" s="15" t="e">
        <f t="shared" si="3"/>
        <v>#VALUE!</v>
      </c>
      <c r="AY15" s="15"/>
    </row>
    <row r="16" spans="1:51" ht="12.75">
      <c r="A16" s="1" t="s">
        <v>8</v>
      </c>
      <c r="B16" s="1" t="s">
        <v>119</v>
      </c>
      <c r="C16" s="144">
        <v>0.011414750789865985</v>
      </c>
      <c r="D16" s="163">
        <v>3.8397504283348596</v>
      </c>
      <c r="E16" s="5">
        <f>F16*$D16</f>
        <v>403.5796411686209</v>
      </c>
      <c r="F16" s="5">
        <v>105.10569598233931</v>
      </c>
      <c r="G16" s="6">
        <f>H16*$D16</f>
        <v>14.163496560834606</v>
      </c>
      <c r="H16" s="226">
        <v>3.68865029776863</v>
      </c>
      <c r="I16" s="226">
        <v>3.68865029776863</v>
      </c>
      <c r="J16" s="13">
        <f t="shared" si="4"/>
        <v>0</v>
      </c>
      <c r="K16" s="148">
        <v>0.011414750789865985</v>
      </c>
      <c r="L16" s="133">
        <v>0.017782597583727494</v>
      </c>
      <c r="M16" s="133">
        <v>56.234753966151736</v>
      </c>
      <c r="N16" s="133">
        <v>0.001990584658017982</v>
      </c>
      <c r="O16" s="15" t="e">
        <f t="shared" si="5"/>
        <v>#VALUE!</v>
      </c>
      <c r="P16" s="15" t="e">
        <f t="shared" si="0"/>
        <v>#VALUE!</v>
      </c>
      <c r="Q16" s="5">
        <v>3.8397504283348596</v>
      </c>
      <c r="R16" s="15" t="e">
        <f t="shared" si="6"/>
        <v>#VALUE!</v>
      </c>
      <c r="S16" s="15" t="e">
        <f t="shared" si="34"/>
        <v>#VALUE!</v>
      </c>
      <c r="T16" s="15" t="e">
        <f t="shared" si="7"/>
        <v>#VALUE!</v>
      </c>
      <c r="U16" s="15" t="e">
        <f t="shared" si="8"/>
        <v>#VALUE!</v>
      </c>
      <c r="V16" s="15" t="e">
        <f t="shared" si="1"/>
        <v>#VALUE!</v>
      </c>
      <c r="W16" s="16" t="e">
        <f t="shared" si="9"/>
        <v>#VALUE!</v>
      </c>
      <c r="X16" t="e">
        <f t="shared" si="10"/>
        <v>#VALUE!</v>
      </c>
      <c r="Y16" t="e">
        <f t="shared" si="11"/>
        <v>#VALUE!</v>
      </c>
      <c r="Z16" t="e">
        <f t="shared" si="12"/>
        <v>#VALUE!</v>
      </c>
      <c r="AA16" t="e">
        <f t="shared" si="13"/>
        <v>#VALUE!</v>
      </c>
      <c r="AB16" t="e">
        <f t="shared" si="14"/>
        <v>#VALUE!</v>
      </c>
      <c r="AC16" t="e">
        <f t="shared" si="15"/>
        <v>#VALUE!</v>
      </c>
      <c r="AD16" t="e">
        <f t="shared" si="16"/>
        <v>#VALUE!</v>
      </c>
      <c r="AE16" s="15" t="e">
        <f t="shared" si="17"/>
        <v>#VALUE!</v>
      </c>
      <c r="AF16" t="e">
        <f t="shared" si="18"/>
        <v>#VALUE!</v>
      </c>
      <c r="AG16" t="e">
        <f t="shared" si="19"/>
        <v>#VALUE!</v>
      </c>
      <c r="AH16" t="e">
        <f t="shared" si="20"/>
        <v>#VALUE!</v>
      </c>
      <c r="AI16" t="e">
        <f t="shared" si="21"/>
        <v>#VALUE!</v>
      </c>
      <c r="AJ16" s="15" t="e">
        <f t="shared" si="22"/>
        <v>#VALUE!</v>
      </c>
      <c r="AK16" t="e">
        <f t="shared" si="23"/>
        <v>#VALUE!</v>
      </c>
      <c r="AL16" t="e">
        <f t="shared" si="24"/>
        <v>#VALUE!</v>
      </c>
      <c r="AM16" t="e">
        <f t="shared" si="25"/>
        <v>#VALUE!</v>
      </c>
      <c r="AN16" t="e">
        <f t="shared" si="26"/>
        <v>#VALUE!</v>
      </c>
      <c r="AO16" s="15" t="e">
        <f t="shared" si="27"/>
        <v>#VALUE!</v>
      </c>
      <c r="AP16" t="e">
        <f t="shared" si="28"/>
        <v>#VALUE!</v>
      </c>
      <c r="AQ16" t="e">
        <f t="shared" si="29"/>
        <v>#VALUE!</v>
      </c>
      <c r="AR16" t="e">
        <f t="shared" si="30"/>
        <v>#VALUE!</v>
      </c>
      <c r="AS16" t="e">
        <f t="shared" si="31"/>
        <v>#VALUE!</v>
      </c>
      <c r="AT16" s="15" t="e">
        <f t="shared" si="32"/>
        <v>#VALUE!</v>
      </c>
      <c r="AU16" t="e">
        <f t="shared" si="33"/>
        <v>#VALUE!</v>
      </c>
      <c r="AW16" t="e">
        <f t="shared" si="2"/>
        <v>#VALUE!</v>
      </c>
      <c r="AX16" s="15" t="e">
        <f t="shared" si="3"/>
        <v>#VALUE!</v>
      </c>
      <c r="AY16" s="15"/>
    </row>
    <row r="17" spans="1:51" ht="12.75">
      <c r="A17" s="1" t="s">
        <v>9</v>
      </c>
      <c r="B17" s="1" t="s">
        <v>119</v>
      </c>
      <c r="C17" s="144">
        <v>0.004211518105367183</v>
      </c>
      <c r="D17" s="163">
        <v>1.4166913274515311</v>
      </c>
      <c r="E17" s="5">
        <f>F17*$D17</f>
        <v>115.96801073459599</v>
      </c>
      <c r="F17" s="5">
        <v>81.85834732482583</v>
      </c>
      <c r="G17" s="6">
        <f>H17*$D17</f>
        <v>3.165521824113809</v>
      </c>
      <c r="H17" s="226">
        <v>2.23444709710211</v>
      </c>
      <c r="I17" s="226">
        <v>2.23444709710211</v>
      </c>
      <c r="J17" s="13">
        <f t="shared" si="4"/>
        <v>0</v>
      </c>
      <c r="K17" s="148">
        <v>0.004211518105367183</v>
      </c>
      <c r="L17" s="133">
        <v>0.00656096073081297</v>
      </c>
      <c r="M17" s="133">
        <v>152.4167025270535</v>
      </c>
      <c r="N17" s="133">
        <v>0.0053952107598561165</v>
      </c>
      <c r="O17" s="15" t="e">
        <f t="shared" si="5"/>
        <v>#VALUE!</v>
      </c>
      <c r="P17" s="15" t="e">
        <f t="shared" si="0"/>
        <v>#VALUE!</v>
      </c>
      <c r="Q17" s="5">
        <v>1.4166913274515311</v>
      </c>
      <c r="R17" s="15" t="e">
        <f t="shared" si="6"/>
        <v>#VALUE!</v>
      </c>
      <c r="S17" s="15" t="e">
        <f t="shared" si="34"/>
        <v>#VALUE!</v>
      </c>
      <c r="T17" s="15" t="e">
        <f t="shared" si="7"/>
        <v>#VALUE!</v>
      </c>
      <c r="U17" s="15" t="e">
        <f t="shared" si="8"/>
        <v>#VALUE!</v>
      </c>
      <c r="V17" s="15" t="e">
        <f t="shared" si="1"/>
        <v>#VALUE!</v>
      </c>
      <c r="W17" s="16" t="e">
        <f t="shared" si="9"/>
        <v>#VALUE!</v>
      </c>
      <c r="X17" t="e">
        <f t="shared" si="10"/>
        <v>#VALUE!</v>
      </c>
      <c r="Y17" t="e">
        <f t="shared" si="11"/>
        <v>#VALUE!</v>
      </c>
      <c r="Z17" t="e">
        <f t="shared" si="12"/>
        <v>#VALUE!</v>
      </c>
      <c r="AA17" t="e">
        <f t="shared" si="13"/>
        <v>#VALUE!</v>
      </c>
      <c r="AB17" t="e">
        <f t="shared" si="14"/>
        <v>#VALUE!</v>
      </c>
      <c r="AC17" t="e">
        <f t="shared" si="15"/>
        <v>#VALUE!</v>
      </c>
      <c r="AD17" t="e">
        <f t="shared" si="16"/>
        <v>#VALUE!</v>
      </c>
      <c r="AE17" s="15" t="e">
        <f t="shared" si="17"/>
        <v>#VALUE!</v>
      </c>
      <c r="AF17" t="e">
        <f t="shared" si="18"/>
        <v>#VALUE!</v>
      </c>
      <c r="AG17" t="e">
        <f t="shared" si="19"/>
        <v>#VALUE!</v>
      </c>
      <c r="AH17" t="e">
        <f t="shared" si="20"/>
        <v>#VALUE!</v>
      </c>
      <c r="AI17" t="e">
        <f t="shared" si="21"/>
        <v>#VALUE!</v>
      </c>
      <c r="AJ17" s="15" t="e">
        <f t="shared" si="22"/>
        <v>#VALUE!</v>
      </c>
      <c r="AK17" t="e">
        <f t="shared" si="23"/>
        <v>#VALUE!</v>
      </c>
      <c r="AL17" t="e">
        <f t="shared" si="24"/>
        <v>#VALUE!</v>
      </c>
      <c r="AM17" t="e">
        <f t="shared" si="25"/>
        <v>#VALUE!</v>
      </c>
      <c r="AN17" t="e">
        <f t="shared" si="26"/>
        <v>#VALUE!</v>
      </c>
      <c r="AO17" s="15" t="e">
        <f t="shared" si="27"/>
        <v>#VALUE!</v>
      </c>
      <c r="AP17" t="e">
        <f t="shared" si="28"/>
        <v>#VALUE!</v>
      </c>
      <c r="AQ17" t="e">
        <f t="shared" si="29"/>
        <v>#VALUE!</v>
      </c>
      <c r="AR17" t="e">
        <f t="shared" si="30"/>
        <v>#VALUE!</v>
      </c>
      <c r="AS17" t="e">
        <f t="shared" si="31"/>
        <v>#VALUE!</v>
      </c>
      <c r="AT17" s="15" t="e">
        <f t="shared" si="32"/>
        <v>#VALUE!</v>
      </c>
      <c r="AU17" t="e">
        <f t="shared" si="33"/>
        <v>#VALUE!</v>
      </c>
      <c r="AW17" t="e">
        <f t="shared" si="2"/>
        <v>#VALUE!</v>
      </c>
      <c r="AX17" s="15" t="e">
        <f t="shared" si="3"/>
        <v>#VALUE!</v>
      </c>
      <c r="AY17" s="15"/>
    </row>
    <row r="18" spans="1:51" ht="12.75">
      <c r="A18" s="1" t="s">
        <v>10</v>
      </c>
      <c r="B18" s="3"/>
      <c r="C18" s="144">
        <f>SUM(C19:C20)</f>
        <v>0.0065535095868546715</v>
      </c>
      <c r="D18" s="163"/>
      <c r="E18" s="5">
        <f>SUM(E19:E20)</f>
        <v>137.0904802280234</v>
      </c>
      <c r="F18" s="3"/>
      <c r="G18" s="6">
        <f>SUM(G19:G20)</f>
        <v>6.460226658321788</v>
      </c>
      <c r="H18" s="226"/>
      <c r="I18" s="226"/>
      <c r="J18" s="13">
        <f t="shared" si="4"/>
        <v>0</v>
      </c>
      <c r="K18" s="148"/>
      <c r="L18" s="133"/>
      <c r="M18" s="133"/>
      <c r="N18" s="133"/>
      <c r="P18" s="15"/>
      <c r="Q18" s="5"/>
      <c r="T18" s="15">
        <f t="shared" si="7"/>
        <v>0</v>
      </c>
      <c r="U18" s="15">
        <f t="shared" si="8"/>
        <v>0</v>
      </c>
      <c r="V18" s="15" t="e">
        <f t="shared" si="1"/>
        <v>#VALUE!</v>
      </c>
      <c r="W18" s="16">
        <f t="shared" si="9"/>
        <v>0</v>
      </c>
      <c r="X18">
        <f t="shared" si="10"/>
        <v>0</v>
      </c>
      <c r="Y18">
        <f t="shared" si="11"/>
        <v>0</v>
      </c>
      <c r="Z18">
        <f t="shared" si="12"/>
        <v>0</v>
      </c>
      <c r="AA18" t="e">
        <f t="shared" si="13"/>
        <v>#VALUE!</v>
      </c>
      <c r="AB18">
        <f t="shared" si="14"/>
        <v>0</v>
      </c>
      <c r="AC18">
        <f t="shared" si="15"/>
        <v>0</v>
      </c>
      <c r="AD18">
        <f t="shared" si="16"/>
        <v>0</v>
      </c>
      <c r="AE18" s="15">
        <f t="shared" si="17"/>
        <v>0</v>
      </c>
      <c r="AF18" t="e">
        <f t="shared" si="18"/>
        <v>#VALUE!</v>
      </c>
      <c r="AG18">
        <f t="shared" si="19"/>
        <v>0</v>
      </c>
      <c r="AH18">
        <f t="shared" si="20"/>
        <v>0</v>
      </c>
      <c r="AI18">
        <f t="shared" si="21"/>
        <v>0</v>
      </c>
      <c r="AJ18" s="15">
        <f t="shared" si="22"/>
        <v>0</v>
      </c>
      <c r="AK18" t="e">
        <f t="shared" si="23"/>
        <v>#VALUE!</v>
      </c>
      <c r="AL18">
        <f t="shared" si="24"/>
        <v>0</v>
      </c>
      <c r="AM18">
        <f t="shared" si="25"/>
        <v>0</v>
      </c>
      <c r="AN18">
        <f t="shared" si="26"/>
        <v>0</v>
      </c>
      <c r="AO18" s="15">
        <f t="shared" si="27"/>
        <v>0</v>
      </c>
      <c r="AP18" t="e">
        <f t="shared" si="28"/>
        <v>#VALUE!</v>
      </c>
      <c r="AQ18">
        <f t="shared" si="29"/>
        <v>0</v>
      </c>
      <c r="AR18">
        <f t="shared" si="30"/>
        <v>0</v>
      </c>
      <c r="AS18">
        <f t="shared" si="31"/>
        <v>0</v>
      </c>
      <c r="AT18" s="15">
        <f t="shared" si="32"/>
        <v>0</v>
      </c>
      <c r="AU18" t="e">
        <f t="shared" si="33"/>
        <v>#VALUE!</v>
      </c>
      <c r="AW18">
        <f t="shared" si="2"/>
        <v>0</v>
      </c>
      <c r="AX18" s="15" t="e">
        <f t="shared" si="3"/>
        <v>#VALUE!</v>
      </c>
      <c r="AY18" s="15" t="e">
        <f>SUM(AW19:AX20)</f>
        <v>#VALUE!</v>
      </c>
    </row>
    <row r="19" spans="1:51" ht="12.75">
      <c r="A19" s="1" t="s">
        <v>11</v>
      </c>
      <c r="B19" s="1" t="s">
        <v>119</v>
      </c>
      <c r="C19" s="144">
        <v>0.0022925241800402624</v>
      </c>
      <c r="D19" s="163">
        <v>0.7711706426471154</v>
      </c>
      <c r="E19" s="5">
        <f>F19*$D19</f>
        <v>90.82833191739832</v>
      </c>
      <c r="F19" s="5">
        <v>117.77981019300938</v>
      </c>
      <c r="G19" s="6">
        <f>H19*$D19</f>
        <v>5.29521602730714</v>
      </c>
      <c r="H19" s="226">
        <v>6.86646474135843</v>
      </c>
      <c r="I19" s="226">
        <v>6.86646474135843</v>
      </c>
      <c r="J19" s="13">
        <f t="shared" si="4"/>
        <v>0</v>
      </c>
      <c r="K19" s="148">
        <v>0.0022925241800402624</v>
      </c>
      <c r="L19" s="133">
        <v>0.003571434514436688</v>
      </c>
      <c r="M19" s="133">
        <v>279.999534068939</v>
      </c>
      <c r="N19" s="133">
        <v>0.009911357967446527</v>
      </c>
      <c r="O19" s="15" t="e">
        <f t="shared" si="5"/>
        <v>#VALUE!</v>
      </c>
      <c r="P19" s="15" t="e">
        <f t="shared" si="0"/>
        <v>#VALUE!</v>
      </c>
      <c r="Q19" s="5">
        <v>0.7711706426471154</v>
      </c>
      <c r="R19" s="15" t="e">
        <f t="shared" si="6"/>
        <v>#VALUE!</v>
      </c>
      <c r="S19" s="15" t="e">
        <f t="shared" si="34"/>
        <v>#VALUE!</v>
      </c>
      <c r="T19" s="15" t="e">
        <f t="shared" si="7"/>
        <v>#VALUE!</v>
      </c>
      <c r="U19" s="15" t="e">
        <f t="shared" si="8"/>
        <v>#VALUE!</v>
      </c>
      <c r="V19" s="15" t="e">
        <f t="shared" si="1"/>
        <v>#VALUE!</v>
      </c>
      <c r="W19" s="16" t="e">
        <f t="shared" si="9"/>
        <v>#VALUE!</v>
      </c>
      <c r="X19" t="e">
        <f t="shared" si="10"/>
        <v>#VALUE!</v>
      </c>
      <c r="Y19" t="e">
        <f t="shared" si="11"/>
        <v>#VALUE!</v>
      </c>
      <c r="Z19" t="e">
        <f t="shared" si="12"/>
        <v>#VALUE!</v>
      </c>
      <c r="AA19" t="e">
        <f t="shared" si="13"/>
        <v>#VALUE!</v>
      </c>
      <c r="AB19" t="e">
        <f t="shared" si="14"/>
        <v>#VALUE!</v>
      </c>
      <c r="AC19" t="e">
        <f t="shared" si="15"/>
        <v>#VALUE!</v>
      </c>
      <c r="AD19" t="e">
        <f t="shared" si="16"/>
        <v>#VALUE!</v>
      </c>
      <c r="AE19" s="15" t="e">
        <f t="shared" si="17"/>
        <v>#VALUE!</v>
      </c>
      <c r="AF19" t="e">
        <f t="shared" si="18"/>
        <v>#VALUE!</v>
      </c>
      <c r="AG19" t="e">
        <f t="shared" si="19"/>
        <v>#VALUE!</v>
      </c>
      <c r="AH19" t="e">
        <f t="shared" si="20"/>
        <v>#VALUE!</v>
      </c>
      <c r="AI19" t="e">
        <f t="shared" si="21"/>
        <v>#VALUE!</v>
      </c>
      <c r="AJ19" s="15" t="e">
        <f t="shared" si="22"/>
        <v>#VALUE!</v>
      </c>
      <c r="AK19" t="e">
        <f t="shared" si="23"/>
        <v>#VALUE!</v>
      </c>
      <c r="AL19" t="e">
        <f t="shared" si="24"/>
        <v>#VALUE!</v>
      </c>
      <c r="AM19" t="e">
        <f t="shared" si="25"/>
        <v>#VALUE!</v>
      </c>
      <c r="AN19" t="e">
        <f t="shared" si="26"/>
        <v>#VALUE!</v>
      </c>
      <c r="AO19" s="15" t="e">
        <f t="shared" si="27"/>
        <v>#VALUE!</v>
      </c>
      <c r="AP19" t="e">
        <f t="shared" si="28"/>
        <v>#VALUE!</v>
      </c>
      <c r="AQ19" t="e">
        <f t="shared" si="29"/>
        <v>#VALUE!</v>
      </c>
      <c r="AR19" t="e">
        <f t="shared" si="30"/>
        <v>#VALUE!</v>
      </c>
      <c r="AS19" t="e">
        <f t="shared" si="31"/>
        <v>#VALUE!</v>
      </c>
      <c r="AT19" s="15" t="e">
        <f t="shared" si="32"/>
        <v>#VALUE!</v>
      </c>
      <c r="AU19" t="e">
        <f t="shared" si="33"/>
        <v>#VALUE!</v>
      </c>
      <c r="AW19" t="e">
        <f t="shared" si="2"/>
        <v>#VALUE!</v>
      </c>
      <c r="AX19" s="15" t="e">
        <f t="shared" si="3"/>
        <v>#VALUE!</v>
      </c>
      <c r="AY19" s="15"/>
    </row>
    <row r="20" spans="1:51" ht="12.75">
      <c r="A20" s="1" t="s">
        <v>264</v>
      </c>
      <c r="B20" s="1" t="s">
        <v>120</v>
      </c>
      <c r="C20" s="144">
        <v>0.0042609854068144095</v>
      </c>
      <c r="D20" s="163">
        <v>1.4333313834122088</v>
      </c>
      <c r="E20" s="5">
        <f>F20*$D20</f>
        <v>46.26214831062508</v>
      </c>
      <c r="F20" s="5">
        <v>32.27596133456086</v>
      </c>
      <c r="G20" s="6">
        <f>H20*$D20</f>
        <v>1.165010631014648</v>
      </c>
      <c r="H20" s="226">
        <v>0.8127992204016404</v>
      </c>
      <c r="I20" s="226">
        <v>0.8127992204016404</v>
      </c>
      <c r="J20" s="13">
        <f t="shared" si="4"/>
        <v>0</v>
      </c>
      <c r="K20" s="148">
        <v>0.0042609854068144095</v>
      </c>
      <c r="L20" s="133">
        <v>0.006638023921361986</v>
      </c>
      <c r="M20" s="133">
        <v>150.6472425900539</v>
      </c>
      <c r="N20" s="133">
        <v>0.0053325758311839125</v>
      </c>
      <c r="O20" s="15" t="e">
        <f t="shared" si="5"/>
        <v>#VALUE!</v>
      </c>
      <c r="P20" s="15" t="e">
        <f t="shared" si="0"/>
        <v>#VALUE!</v>
      </c>
      <c r="Q20" s="5">
        <v>1.4333313834122088</v>
      </c>
      <c r="R20" s="15" t="e">
        <f t="shared" si="6"/>
        <v>#VALUE!</v>
      </c>
      <c r="S20" s="15" t="e">
        <f t="shared" si="34"/>
        <v>#VALUE!</v>
      </c>
      <c r="T20" s="15" t="e">
        <f t="shared" si="7"/>
        <v>#VALUE!</v>
      </c>
      <c r="U20" s="15" t="e">
        <f t="shared" si="8"/>
        <v>#VALUE!</v>
      </c>
      <c r="V20" s="15" t="e">
        <f t="shared" si="1"/>
        <v>#VALUE!</v>
      </c>
      <c r="W20" s="16" t="e">
        <f t="shared" si="9"/>
        <v>#VALUE!</v>
      </c>
      <c r="X20" t="e">
        <f t="shared" si="10"/>
        <v>#VALUE!</v>
      </c>
      <c r="Y20" t="e">
        <f t="shared" si="11"/>
        <v>#VALUE!</v>
      </c>
      <c r="Z20" t="e">
        <f t="shared" si="12"/>
        <v>#VALUE!</v>
      </c>
      <c r="AA20" t="e">
        <f t="shared" si="13"/>
        <v>#VALUE!</v>
      </c>
      <c r="AB20" t="e">
        <f t="shared" si="14"/>
        <v>#VALUE!</v>
      </c>
      <c r="AC20" t="e">
        <f t="shared" si="15"/>
        <v>#VALUE!</v>
      </c>
      <c r="AD20" t="e">
        <f t="shared" si="16"/>
        <v>#VALUE!</v>
      </c>
      <c r="AE20" s="15" t="e">
        <f t="shared" si="17"/>
        <v>#VALUE!</v>
      </c>
      <c r="AF20" t="e">
        <f t="shared" si="18"/>
        <v>#VALUE!</v>
      </c>
      <c r="AG20" t="e">
        <f t="shared" si="19"/>
        <v>#VALUE!</v>
      </c>
      <c r="AH20" t="e">
        <f t="shared" si="20"/>
        <v>#VALUE!</v>
      </c>
      <c r="AI20" t="e">
        <f t="shared" si="21"/>
        <v>#VALUE!</v>
      </c>
      <c r="AJ20" s="15" t="e">
        <f t="shared" si="22"/>
        <v>#VALUE!</v>
      </c>
      <c r="AK20" t="e">
        <f t="shared" si="23"/>
        <v>#VALUE!</v>
      </c>
      <c r="AL20" t="e">
        <f t="shared" si="24"/>
        <v>#VALUE!</v>
      </c>
      <c r="AM20" t="e">
        <f t="shared" si="25"/>
        <v>#VALUE!</v>
      </c>
      <c r="AN20" t="e">
        <f t="shared" si="26"/>
        <v>#VALUE!</v>
      </c>
      <c r="AO20" s="15" t="e">
        <f t="shared" si="27"/>
        <v>#VALUE!</v>
      </c>
      <c r="AP20" t="e">
        <f t="shared" si="28"/>
        <v>#VALUE!</v>
      </c>
      <c r="AQ20" t="e">
        <f t="shared" si="29"/>
        <v>#VALUE!</v>
      </c>
      <c r="AR20" t="e">
        <f t="shared" si="30"/>
        <v>#VALUE!</v>
      </c>
      <c r="AS20" t="e">
        <f t="shared" si="31"/>
        <v>#VALUE!</v>
      </c>
      <c r="AT20" s="15" t="e">
        <f t="shared" si="32"/>
        <v>#VALUE!</v>
      </c>
      <c r="AU20" t="e">
        <f t="shared" si="33"/>
        <v>#VALUE!</v>
      </c>
      <c r="AW20" t="e">
        <f t="shared" si="2"/>
        <v>#VALUE!</v>
      </c>
      <c r="AX20" s="15" t="e">
        <f t="shared" si="3"/>
        <v>#VALUE!</v>
      </c>
      <c r="AY20" s="15"/>
    </row>
    <row r="21" spans="1:51" ht="12.75">
      <c r="A21" s="1" t="s">
        <v>12</v>
      </c>
      <c r="B21" s="3"/>
      <c r="C21" s="144">
        <f>SUM(C22:C23)</f>
        <v>0.015751588737100846</v>
      </c>
      <c r="D21" s="163"/>
      <c r="E21" s="5">
        <f>SUM(E22:E23)</f>
        <v>169.60503586348585</v>
      </c>
      <c r="F21" s="3"/>
      <c r="G21" s="6" t="e">
        <f>SUM(G22:G23)</f>
        <v>#VALUE!</v>
      </c>
      <c r="H21" s="226"/>
      <c r="I21" s="226"/>
      <c r="J21" s="13">
        <f t="shared" si="4"/>
        <v>0</v>
      </c>
      <c r="K21" s="148"/>
      <c r="L21" s="133"/>
      <c r="M21" s="133"/>
      <c r="N21" s="133"/>
      <c r="P21" s="15"/>
      <c r="Q21" s="5"/>
      <c r="T21" s="15">
        <f t="shared" si="7"/>
        <v>0</v>
      </c>
      <c r="U21" s="15">
        <f t="shared" si="8"/>
        <v>0</v>
      </c>
      <c r="V21" s="15" t="e">
        <f t="shared" si="1"/>
        <v>#VALUE!</v>
      </c>
      <c r="W21" s="16">
        <f t="shared" si="9"/>
        <v>0</v>
      </c>
      <c r="X21">
        <f t="shared" si="10"/>
        <v>0</v>
      </c>
      <c r="Y21">
        <f t="shared" si="11"/>
        <v>0</v>
      </c>
      <c r="Z21">
        <f t="shared" si="12"/>
        <v>0</v>
      </c>
      <c r="AA21" t="e">
        <f t="shared" si="13"/>
        <v>#VALUE!</v>
      </c>
      <c r="AB21">
        <f t="shared" si="14"/>
        <v>0</v>
      </c>
      <c r="AC21">
        <f t="shared" si="15"/>
        <v>0</v>
      </c>
      <c r="AD21">
        <f t="shared" si="16"/>
        <v>0</v>
      </c>
      <c r="AE21" s="15">
        <f t="shared" si="17"/>
        <v>0</v>
      </c>
      <c r="AF21" t="e">
        <f t="shared" si="18"/>
        <v>#VALUE!</v>
      </c>
      <c r="AG21">
        <f t="shared" si="19"/>
        <v>0</v>
      </c>
      <c r="AH21">
        <f t="shared" si="20"/>
        <v>0</v>
      </c>
      <c r="AI21">
        <f t="shared" si="21"/>
        <v>0</v>
      </c>
      <c r="AJ21" s="15">
        <f t="shared" si="22"/>
        <v>0</v>
      </c>
      <c r="AK21" t="e">
        <f t="shared" si="23"/>
        <v>#VALUE!</v>
      </c>
      <c r="AL21">
        <f t="shared" si="24"/>
        <v>0</v>
      </c>
      <c r="AM21">
        <f t="shared" si="25"/>
        <v>0</v>
      </c>
      <c r="AN21">
        <f t="shared" si="26"/>
        <v>0</v>
      </c>
      <c r="AO21" s="15">
        <f t="shared" si="27"/>
        <v>0</v>
      </c>
      <c r="AP21" t="e">
        <f t="shared" si="28"/>
        <v>#VALUE!</v>
      </c>
      <c r="AQ21">
        <f t="shared" si="29"/>
        <v>0</v>
      </c>
      <c r="AR21">
        <f t="shared" si="30"/>
        <v>0</v>
      </c>
      <c r="AS21">
        <f t="shared" si="31"/>
        <v>0</v>
      </c>
      <c r="AT21" s="15">
        <f t="shared" si="32"/>
        <v>0</v>
      </c>
      <c r="AU21" t="e">
        <f t="shared" si="33"/>
        <v>#VALUE!</v>
      </c>
      <c r="AW21">
        <f t="shared" si="2"/>
        <v>0</v>
      </c>
      <c r="AX21" s="15" t="e">
        <f t="shared" si="3"/>
        <v>#VALUE!</v>
      </c>
      <c r="AY21" s="15" t="e">
        <f>SUM(AW22:AX23)</f>
        <v>#VALUE!</v>
      </c>
    </row>
    <row r="22" spans="1:51" ht="12.75">
      <c r="A22" s="1" t="s">
        <v>13</v>
      </c>
      <c r="B22" s="1" t="s">
        <v>121</v>
      </c>
      <c r="C22" s="144">
        <v>0.007032034976494993</v>
      </c>
      <c r="D22" s="163">
        <v>2.365470767617115</v>
      </c>
      <c r="E22" s="5">
        <f>F22*$D22</f>
        <v>106.08344877376256</v>
      </c>
      <c r="F22" s="5">
        <v>44.846653877962304</v>
      </c>
      <c r="G22" s="6">
        <f>H22*$D22</f>
        <v>3.2638762567456503</v>
      </c>
      <c r="H22" s="226">
        <v>1.3797998696189997</v>
      </c>
      <c r="I22" s="226">
        <v>1.3797998696189997</v>
      </c>
      <c r="J22" s="13">
        <f t="shared" si="4"/>
        <v>0</v>
      </c>
      <c r="K22" s="148">
        <v>0.007032034976494993</v>
      </c>
      <c r="L22" s="133">
        <v>0.010954934582779026</v>
      </c>
      <c r="M22" s="133">
        <v>91.28306448967604</v>
      </c>
      <c r="N22" s="133">
        <v>0.0032312165501672905</v>
      </c>
      <c r="O22" s="15" t="e">
        <f t="shared" si="5"/>
        <v>#VALUE!</v>
      </c>
      <c r="P22" s="15" t="e">
        <f t="shared" si="0"/>
        <v>#VALUE!</v>
      </c>
      <c r="Q22" s="5">
        <v>2.365470767617115</v>
      </c>
      <c r="R22" s="15" t="e">
        <f t="shared" si="6"/>
        <v>#VALUE!</v>
      </c>
      <c r="S22" s="15" t="e">
        <f t="shared" si="34"/>
        <v>#VALUE!</v>
      </c>
      <c r="T22" s="15" t="e">
        <f t="shared" si="7"/>
        <v>#VALUE!</v>
      </c>
      <c r="U22" s="15" t="e">
        <f t="shared" si="8"/>
        <v>#VALUE!</v>
      </c>
      <c r="V22" s="15" t="e">
        <f t="shared" si="1"/>
        <v>#VALUE!</v>
      </c>
      <c r="W22" s="16" t="e">
        <f t="shared" si="9"/>
        <v>#VALUE!</v>
      </c>
      <c r="X22" t="e">
        <f t="shared" si="10"/>
        <v>#VALUE!</v>
      </c>
      <c r="Y22" t="e">
        <f t="shared" si="11"/>
        <v>#VALUE!</v>
      </c>
      <c r="Z22" t="e">
        <f t="shared" si="12"/>
        <v>#VALUE!</v>
      </c>
      <c r="AA22" t="e">
        <f t="shared" si="13"/>
        <v>#VALUE!</v>
      </c>
      <c r="AB22" t="e">
        <f t="shared" si="14"/>
        <v>#VALUE!</v>
      </c>
      <c r="AC22" t="e">
        <f t="shared" si="15"/>
        <v>#VALUE!</v>
      </c>
      <c r="AD22" t="e">
        <f t="shared" si="16"/>
        <v>#VALUE!</v>
      </c>
      <c r="AE22" s="15" t="e">
        <f t="shared" si="17"/>
        <v>#VALUE!</v>
      </c>
      <c r="AF22" t="e">
        <f t="shared" si="18"/>
        <v>#VALUE!</v>
      </c>
      <c r="AG22" t="e">
        <f t="shared" si="19"/>
        <v>#VALUE!</v>
      </c>
      <c r="AH22" t="e">
        <f t="shared" si="20"/>
        <v>#VALUE!</v>
      </c>
      <c r="AI22" t="e">
        <f t="shared" si="21"/>
        <v>#VALUE!</v>
      </c>
      <c r="AJ22" s="15" t="e">
        <f t="shared" si="22"/>
        <v>#VALUE!</v>
      </c>
      <c r="AK22" t="e">
        <f t="shared" si="23"/>
        <v>#VALUE!</v>
      </c>
      <c r="AL22" t="e">
        <f t="shared" si="24"/>
        <v>#VALUE!</v>
      </c>
      <c r="AM22" t="e">
        <f t="shared" si="25"/>
        <v>#VALUE!</v>
      </c>
      <c r="AN22" t="e">
        <f t="shared" si="26"/>
        <v>#VALUE!</v>
      </c>
      <c r="AO22" s="15" t="e">
        <f t="shared" si="27"/>
        <v>#VALUE!</v>
      </c>
      <c r="AP22" t="e">
        <f t="shared" si="28"/>
        <v>#VALUE!</v>
      </c>
      <c r="AQ22" t="e">
        <f t="shared" si="29"/>
        <v>#VALUE!</v>
      </c>
      <c r="AR22" t="e">
        <f t="shared" si="30"/>
        <v>#VALUE!</v>
      </c>
      <c r="AS22" t="e">
        <f t="shared" si="31"/>
        <v>#VALUE!</v>
      </c>
      <c r="AT22" s="15" t="e">
        <f t="shared" si="32"/>
        <v>#VALUE!</v>
      </c>
      <c r="AU22" t="e">
        <f t="shared" si="33"/>
        <v>#VALUE!</v>
      </c>
      <c r="AW22" t="e">
        <f t="shared" si="2"/>
        <v>#VALUE!</v>
      </c>
      <c r="AX22" s="15" t="e">
        <f t="shared" si="3"/>
        <v>#VALUE!</v>
      </c>
      <c r="AY22" s="15"/>
    </row>
    <row r="23" spans="1:51" ht="12.75">
      <c r="A23" s="1" t="s">
        <v>14</v>
      </c>
      <c r="B23" s="1" t="s">
        <v>122</v>
      </c>
      <c r="C23" s="144">
        <v>0.008719553760605854</v>
      </c>
      <c r="D23" s="163">
        <v>2.9331266975096395</v>
      </c>
      <c r="E23" s="5">
        <f>F23*$D23</f>
        <v>63.5215870897233</v>
      </c>
      <c r="F23" s="5">
        <v>21.656612086909192</v>
      </c>
      <c r="G23" s="6" t="e">
        <f>H23*$D23</f>
        <v>#VALUE!</v>
      </c>
      <c r="H23" s="227" t="s">
        <v>360</v>
      </c>
      <c r="I23" s="227" t="s">
        <v>360</v>
      </c>
      <c r="J23" s="13" t="e">
        <f t="shared" si="4"/>
        <v>#VALUE!</v>
      </c>
      <c r="K23" s="148">
        <v>0.008719553760605854</v>
      </c>
      <c r="L23" s="133">
        <v>0.013583854653418333</v>
      </c>
      <c r="M23" s="133">
        <v>73.61680653350875</v>
      </c>
      <c r="N23" s="133">
        <v>0.0026058704861780784</v>
      </c>
      <c r="O23" s="15" t="e">
        <f t="shared" si="5"/>
        <v>#VALUE!</v>
      </c>
      <c r="P23" s="15" t="e">
        <f t="shared" si="0"/>
        <v>#VALUE!</v>
      </c>
      <c r="Q23" s="5">
        <v>2.9331266975096395</v>
      </c>
      <c r="R23" s="15" t="e">
        <f t="shared" si="6"/>
        <v>#VALUE!</v>
      </c>
      <c r="S23" s="15" t="e">
        <f t="shared" si="34"/>
        <v>#VALUE!</v>
      </c>
      <c r="T23" s="15" t="e">
        <f t="shared" si="7"/>
        <v>#VALUE!</v>
      </c>
      <c r="U23" s="15" t="e">
        <f t="shared" si="8"/>
        <v>#VALUE!</v>
      </c>
      <c r="V23" s="15" t="e">
        <f t="shared" si="1"/>
        <v>#VALUE!</v>
      </c>
      <c r="W23" s="16" t="e">
        <f t="shared" si="9"/>
        <v>#VALUE!</v>
      </c>
      <c r="X23" t="e">
        <f t="shared" si="10"/>
        <v>#VALUE!</v>
      </c>
      <c r="Y23" t="e">
        <f t="shared" si="11"/>
        <v>#VALUE!</v>
      </c>
      <c r="Z23" t="e">
        <f t="shared" si="12"/>
        <v>#VALUE!</v>
      </c>
      <c r="AA23" t="e">
        <f t="shared" si="13"/>
        <v>#VALUE!</v>
      </c>
      <c r="AB23" t="e">
        <f t="shared" si="14"/>
        <v>#VALUE!</v>
      </c>
      <c r="AC23" t="e">
        <f t="shared" si="15"/>
        <v>#VALUE!</v>
      </c>
      <c r="AD23" t="e">
        <f t="shared" si="16"/>
        <v>#VALUE!</v>
      </c>
      <c r="AE23" s="15" t="e">
        <f t="shared" si="17"/>
        <v>#VALUE!</v>
      </c>
      <c r="AF23" t="e">
        <f t="shared" si="18"/>
        <v>#VALUE!</v>
      </c>
      <c r="AG23" t="e">
        <f t="shared" si="19"/>
        <v>#VALUE!</v>
      </c>
      <c r="AH23" t="e">
        <f t="shared" si="20"/>
        <v>#VALUE!</v>
      </c>
      <c r="AI23" t="e">
        <f t="shared" si="21"/>
        <v>#VALUE!</v>
      </c>
      <c r="AJ23" s="15" t="e">
        <f t="shared" si="22"/>
        <v>#VALUE!</v>
      </c>
      <c r="AK23" t="e">
        <f t="shared" si="23"/>
        <v>#VALUE!</v>
      </c>
      <c r="AL23" t="e">
        <f t="shared" si="24"/>
        <v>#VALUE!</v>
      </c>
      <c r="AM23" t="e">
        <f t="shared" si="25"/>
        <v>#VALUE!</v>
      </c>
      <c r="AN23" t="e">
        <f t="shared" si="26"/>
        <v>#VALUE!</v>
      </c>
      <c r="AO23" s="15" t="e">
        <f t="shared" si="27"/>
        <v>#VALUE!</v>
      </c>
      <c r="AP23" t="e">
        <f t="shared" si="28"/>
        <v>#VALUE!</v>
      </c>
      <c r="AQ23" t="e">
        <f t="shared" si="29"/>
        <v>#VALUE!</v>
      </c>
      <c r="AR23" t="e">
        <f t="shared" si="30"/>
        <v>#VALUE!</v>
      </c>
      <c r="AS23" t="e">
        <f t="shared" si="31"/>
        <v>#VALUE!</v>
      </c>
      <c r="AT23" s="15" t="e">
        <f t="shared" si="32"/>
        <v>#VALUE!</v>
      </c>
      <c r="AU23" t="e">
        <f t="shared" si="33"/>
        <v>#VALUE!</v>
      </c>
      <c r="AW23" t="e">
        <f t="shared" si="2"/>
        <v>#VALUE!</v>
      </c>
      <c r="AX23" s="15" t="e">
        <f t="shared" si="3"/>
        <v>#VALUE!</v>
      </c>
      <c r="AY23" s="15"/>
    </row>
    <row r="24" spans="1:51" ht="12.75">
      <c r="A24" s="1" t="s">
        <v>15</v>
      </c>
      <c r="B24" s="3"/>
      <c r="C24" s="144">
        <f>SUM(C25:C27)</f>
        <v>0.09616657348192913</v>
      </c>
      <c r="D24" s="163"/>
      <c r="E24" s="5">
        <f>SUM(E25:E27)</f>
        <v>601.3907970815214</v>
      </c>
      <c r="F24" s="3"/>
      <c r="G24" s="6">
        <f>SUM(G25:G27)</f>
        <v>22.97042055859289</v>
      </c>
      <c r="H24" s="226"/>
      <c r="I24" s="226"/>
      <c r="J24" s="13">
        <f t="shared" si="4"/>
        <v>0</v>
      </c>
      <c r="K24" s="148"/>
      <c r="L24" s="133"/>
      <c r="M24" s="133"/>
      <c r="N24" s="133"/>
      <c r="P24" s="15"/>
      <c r="Q24" s="5"/>
      <c r="T24" s="15">
        <f t="shared" si="7"/>
        <v>0</v>
      </c>
      <c r="U24" s="15">
        <f t="shared" si="8"/>
        <v>0</v>
      </c>
      <c r="V24" s="15" t="e">
        <f t="shared" si="1"/>
        <v>#VALUE!</v>
      </c>
      <c r="W24" s="16">
        <f t="shared" si="9"/>
        <v>0</v>
      </c>
      <c r="X24">
        <f t="shared" si="10"/>
        <v>0</v>
      </c>
      <c r="Y24">
        <f t="shared" si="11"/>
        <v>0</v>
      </c>
      <c r="Z24">
        <f t="shared" si="12"/>
        <v>0</v>
      </c>
      <c r="AA24" t="e">
        <f t="shared" si="13"/>
        <v>#VALUE!</v>
      </c>
      <c r="AB24">
        <f t="shared" si="14"/>
        <v>0</v>
      </c>
      <c r="AC24">
        <f t="shared" si="15"/>
        <v>0</v>
      </c>
      <c r="AD24">
        <f t="shared" si="16"/>
        <v>0</v>
      </c>
      <c r="AE24" s="15">
        <f t="shared" si="17"/>
        <v>0</v>
      </c>
      <c r="AF24" t="e">
        <f t="shared" si="18"/>
        <v>#VALUE!</v>
      </c>
      <c r="AG24">
        <f t="shared" si="19"/>
        <v>0</v>
      </c>
      <c r="AH24">
        <f t="shared" si="20"/>
        <v>0</v>
      </c>
      <c r="AI24">
        <f t="shared" si="21"/>
        <v>0</v>
      </c>
      <c r="AJ24" s="15">
        <f t="shared" si="22"/>
        <v>0</v>
      </c>
      <c r="AK24" t="e">
        <f t="shared" si="23"/>
        <v>#VALUE!</v>
      </c>
      <c r="AL24">
        <f t="shared" si="24"/>
        <v>0</v>
      </c>
      <c r="AM24">
        <f t="shared" si="25"/>
        <v>0</v>
      </c>
      <c r="AN24">
        <f t="shared" si="26"/>
        <v>0</v>
      </c>
      <c r="AO24" s="15">
        <f t="shared" si="27"/>
        <v>0</v>
      </c>
      <c r="AP24" t="e">
        <f t="shared" si="28"/>
        <v>#VALUE!</v>
      </c>
      <c r="AQ24">
        <f t="shared" si="29"/>
        <v>0</v>
      </c>
      <c r="AR24">
        <f t="shared" si="30"/>
        <v>0</v>
      </c>
      <c r="AS24">
        <f t="shared" si="31"/>
        <v>0</v>
      </c>
      <c r="AT24" s="15">
        <f t="shared" si="32"/>
        <v>0</v>
      </c>
      <c r="AU24" t="e">
        <f t="shared" si="33"/>
        <v>#VALUE!</v>
      </c>
      <c r="AW24">
        <f t="shared" si="2"/>
        <v>0</v>
      </c>
      <c r="AX24" s="15" t="e">
        <f t="shared" si="3"/>
        <v>#VALUE!</v>
      </c>
      <c r="AY24" s="15" t="e">
        <f>SUM(AW25:AX27)</f>
        <v>#VALUE!</v>
      </c>
    </row>
    <row r="25" spans="1:51" ht="12.75">
      <c r="A25" s="1" t="s">
        <v>16</v>
      </c>
      <c r="B25" s="1" t="s">
        <v>119</v>
      </c>
      <c r="C25" s="144">
        <v>0.006626354668577596</v>
      </c>
      <c r="D25" s="163">
        <v>2.2290060155810236</v>
      </c>
      <c r="E25" s="5">
        <f>F25*$D25</f>
        <v>111.36834888627054</v>
      </c>
      <c r="F25" s="5">
        <v>49.9632338844275</v>
      </c>
      <c r="G25" s="6">
        <f>H25*$D25</f>
        <v>2.7639473377624797</v>
      </c>
      <c r="H25" s="226">
        <v>1.23999097285613</v>
      </c>
      <c r="I25" s="226">
        <v>1.23999097285613</v>
      </c>
      <c r="J25" s="13">
        <f t="shared" si="4"/>
        <v>0</v>
      </c>
      <c r="K25" s="148">
        <v>0.006626354668577596</v>
      </c>
      <c r="L25" s="133">
        <v>0.010322940963632968</v>
      </c>
      <c r="M25" s="133">
        <v>96.87161861362313</v>
      </c>
      <c r="N25" s="133">
        <v>0.00342903888093321</v>
      </c>
      <c r="O25" s="15" t="e">
        <f t="shared" si="5"/>
        <v>#VALUE!</v>
      </c>
      <c r="P25" s="15" t="e">
        <f t="shared" si="0"/>
        <v>#VALUE!</v>
      </c>
      <c r="Q25" s="5">
        <v>2.2290060155810236</v>
      </c>
      <c r="R25" s="15" t="e">
        <f t="shared" si="6"/>
        <v>#VALUE!</v>
      </c>
      <c r="S25" s="15" t="e">
        <f t="shared" si="34"/>
        <v>#VALUE!</v>
      </c>
      <c r="T25" s="15" t="e">
        <f t="shared" si="7"/>
        <v>#VALUE!</v>
      </c>
      <c r="U25" s="15" t="e">
        <f t="shared" si="8"/>
        <v>#VALUE!</v>
      </c>
      <c r="V25" s="15" t="e">
        <f t="shared" si="1"/>
        <v>#VALUE!</v>
      </c>
      <c r="W25" s="16" t="e">
        <f t="shared" si="9"/>
        <v>#VALUE!</v>
      </c>
      <c r="X25" t="e">
        <f t="shared" si="10"/>
        <v>#VALUE!</v>
      </c>
      <c r="Y25" t="e">
        <f t="shared" si="11"/>
        <v>#VALUE!</v>
      </c>
      <c r="Z25" t="e">
        <f t="shared" si="12"/>
        <v>#VALUE!</v>
      </c>
      <c r="AA25" t="e">
        <f t="shared" si="13"/>
        <v>#VALUE!</v>
      </c>
      <c r="AB25" t="e">
        <f t="shared" si="14"/>
        <v>#VALUE!</v>
      </c>
      <c r="AC25" t="e">
        <f t="shared" si="15"/>
        <v>#VALUE!</v>
      </c>
      <c r="AD25" t="e">
        <f t="shared" si="16"/>
        <v>#VALUE!</v>
      </c>
      <c r="AE25" s="15" t="e">
        <f t="shared" si="17"/>
        <v>#VALUE!</v>
      </c>
      <c r="AF25" t="e">
        <f t="shared" si="18"/>
        <v>#VALUE!</v>
      </c>
      <c r="AG25" t="e">
        <f t="shared" si="19"/>
        <v>#VALUE!</v>
      </c>
      <c r="AH25" t="e">
        <f t="shared" si="20"/>
        <v>#VALUE!</v>
      </c>
      <c r="AI25" t="e">
        <f t="shared" si="21"/>
        <v>#VALUE!</v>
      </c>
      <c r="AJ25" s="15" t="e">
        <f t="shared" si="22"/>
        <v>#VALUE!</v>
      </c>
      <c r="AK25" t="e">
        <f t="shared" si="23"/>
        <v>#VALUE!</v>
      </c>
      <c r="AL25" t="e">
        <f t="shared" si="24"/>
        <v>#VALUE!</v>
      </c>
      <c r="AM25" t="e">
        <f t="shared" si="25"/>
        <v>#VALUE!</v>
      </c>
      <c r="AN25" t="e">
        <f t="shared" si="26"/>
        <v>#VALUE!</v>
      </c>
      <c r="AO25" s="15" t="e">
        <f t="shared" si="27"/>
        <v>#VALUE!</v>
      </c>
      <c r="AP25" t="e">
        <f t="shared" si="28"/>
        <v>#VALUE!</v>
      </c>
      <c r="AQ25" t="e">
        <f t="shared" si="29"/>
        <v>#VALUE!</v>
      </c>
      <c r="AR25" t="e">
        <f t="shared" si="30"/>
        <v>#VALUE!</v>
      </c>
      <c r="AS25" t="e">
        <f t="shared" si="31"/>
        <v>#VALUE!</v>
      </c>
      <c r="AT25" s="15" t="e">
        <f t="shared" si="32"/>
        <v>#VALUE!</v>
      </c>
      <c r="AU25" t="e">
        <f t="shared" si="33"/>
        <v>#VALUE!</v>
      </c>
      <c r="AW25" t="e">
        <f t="shared" si="2"/>
        <v>#VALUE!</v>
      </c>
      <c r="AX25" s="15" t="e">
        <f t="shared" si="3"/>
        <v>#VALUE!</v>
      </c>
      <c r="AY25" s="15"/>
    </row>
    <row r="26" spans="1:51" ht="12.75">
      <c r="A26" s="1" t="s">
        <v>17</v>
      </c>
      <c r="B26" s="1" t="s">
        <v>121</v>
      </c>
      <c r="C26" s="144">
        <v>0.08665453953736929</v>
      </c>
      <c r="D26" s="163">
        <v>29.14928336422141</v>
      </c>
      <c r="E26" s="5">
        <f>F26*$D26</f>
        <v>359.27898738921846</v>
      </c>
      <c r="F26" s="5">
        <v>12.325482685114888</v>
      </c>
      <c r="G26" s="6">
        <f>H26*$D26</f>
        <v>17.365484347576295</v>
      </c>
      <c r="H26" s="226">
        <v>0.59574309702897</v>
      </c>
      <c r="I26" s="226">
        <v>0.59574309702897</v>
      </c>
      <c r="J26" s="13">
        <f t="shared" si="4"/>
        <v>0</v>
      </c>
      <c r="K26" s="148">
        <v>0.08665453953736929</v>
      </c>
      <c r="L26" s="133">
        <v>0.13499574662324565</v>
      </c>
      <c r="M26" s="133">
        <v>7.407640796201238</v>
      </c>
      <c r="N26" s="133">
        <v>0.0002622139349965286</v>
      </c>
      <c r="O26" s="15" t="e">
        <f t="shared" si="5"/>
        <v>#VALUE!</v>
      </c>
      <c r="P26" s="15" t="e">
        <f t="shared" si="0"/>
        <v>#VALUE!</v>
      </c>
      <c r="Q26" s="5">
        <v>29.14928336422141</v>
      </c>
      <c r="R26" s="15" t="e">
        <f t="shared" si="6"/>
        <v>#VALUE!</v>
      </c>
      <c r="S26" s="15" t="e">
        <f t="shared" si="34"/>
        <v>#VALUE!</v>
      </c>
      <c r="T26" s="15" t="e">
        <f t="shared" si="7"/>
        <v>#VALUE!</v>
      </c>
      <c r="U26" s="15" t="e">
        <f t="shared" si="8"/>
        <v>#VALUE!</v>
      </c>
      <c r="V26" s="15" t="e">
        <f t="shared" si="1"/>
        <v>#VALUE!</v>
      </c>
      <c r="W26" s="16" t="e">
        <f t="shared" si="9"/>
        <v>#VALUE!</v>
      </c>
      <c r="X26" t="e">
        <f t="shared" si="10"/>
        <v>#VALUE!</v>
      </c>
      <c r="Y26" t="e">
        <f t="shared" si="11"/>
        <v>#VALUE!</v>
      </c>
      <c r="Z26" t="e">
        <f t="shared" si="12"/>
        <v>#VALUE!</v>
      </c>
      <c r="AA26" t="e">
        <f t="shared" si="13"/>
        <v>#VALUE!</v>
      </c>
      <c r="AB26" t="e">
        <f t="shared" si="14"/>
        <v>#VALUE!</v>
      </c>
      <c r="AC26" t="e">
        <f t="shared" si="15"/>
        <v>#VALUE!</v>
      </c>
      <c r="AD26" t="e">
        <f t="shared" si="16"/>
        <v>#VALUE!</v>
      </c>
      <c r="AE26" s="15" t="e">
        <f t="shared" si="17"/>
        <v>#VALUE!</v>
      </c>
      <c r="AF26" t="e">
        <f t="shared" si="18"/>
        <v>#VALUE!</v>
      </c>
      <c r="AG26" t="e">
        <f t="shared" si="19"/>
        <v>#VALUE!</v>
      </c>
      <c r="AH26" t="e">
        <f t="shared" si="20"/>
        <v>#VALUE!</v>
      </c>
      <c r="AI26" t="e">
        <f t="shared" si="21"/>
        <v>#VALUE!</v>
      </c>
      <c r="AJ26" s="15" t="e">
        <f t="shared" si="22"/>
        <v>#VALUE!</v>
      </c>
      <c r="AK26" t="e">
        <f t="shared" si="23"/>
        <v>#VALUE!</v>
      </c>
      <c r="AL26" t="e">
        <f t="shared" si="24"/>
        <v>#VALUE!</v>
      </c>
      <c r="AM26" t="e">
        <f t="shared" si="25"/>
        <v>#VALUE!</v>
      </c>
      <c r="AN26" t="e">
        <f t="shared" si="26"/>
        <v>#VALUE!</v>
      </c>
      <c r="AO26" s="15" t="e">
        <f t="shared" si="27"/>
        <v>#VALUE!</v>
      </c>
      <c r="AP26" t="e">
        <f t="shared" si="28"/>
        <v>#VALUE!</v>
      </c>
      <c r="AQ26" t="e">
        <f t="shared" si="29"/>
        <v>#VALUE!</v>
      </c>
      <c r="AR26" t="e">
        <f t="shared" si="30"/>
        <v>#VALUE!</v>
      </c>
      <c r="AS26" t="e">
        <f t="shared" si="31"/>
        <v>#VALUE!</v>
      </c>
      <c r="AT26" s="15" t="e">
        <f t="shared" si="32"/>
        <v>#VALUE!</v>
      </c>
      <c r="AU26" t="e">
        <f t="shared" si="33"/>
        <v>#VALUE!</v>
      </c>
      <c r="AW26" t="e">
        <f t="shared" si="2"/>
        <v>#VALUE!</v>
      </c>
      <c r="AX26" s="15" t="e">
        <f t="shared" si="3"/>
        <v>#VALUE!</v>
      </c>
      <c r="AY26" s="15"/>
    </row>
    <row r="27" spans="1:51" ht="12.75">
      <c r="A27" s="1" t="s">
        <v>18</v>
      </c>
      <c r="B27" s="1" t="s">
        <v>119</v>
      </c>
      <c r="C27" s="144">
        <v>0.0028856792759822405</v>
      </c>
      <c r="D27" s="163">
        <v>0.9706990927762448</v>
      </c>
      <c r="E27" s="5">
        <f>F27*$D27</f>
        <v>130.7434608060324</v>
      </c>
      <c r="F27" s="5">
        <v>134.69</v>
      </c>
      <c r="G27" s="6">
        <f>H27*$D27</f>
        <v>2.8409888732541133</v>
      </c>
      <c r="H27" s="226">
        <v>2.9267451617048</v>
      </c>
      <c r="I27" s="226">
        <v>2.9267451617048</v>
      </c>
      <c r="J27" s="13">
        <f t="shared" si="4"/>
        <v>0</v>
      </c>
      <c r="K27" s="148">
        <v>0.0028856792759822405</v>
      </c>
      <c r="L27" s="133">
        <v>0.0044954878354463625</v>
      </c>
      <c r="M27" s="133">
        <v>222.4452688126802</v>
      </c>
      <c r="N27" s="133">
        <v>0.007874065557639507</v>
      </c>
      <c r="O27" s="15" t="e">
        <f t="shared" si="5"/>
        <v>#VALUE!</v>
      </c>
      <c r="P27" s="15" t="e">
        <f t="shared" si="0"/>
        <v>#VALUE!</v>
      </c>
      <c r="Q27" s="5">
        <v>0.9706990927762448</v>
      </c>
      <c r="R27" s="15" t="e">
        <f t="shared" si="6"/>
        <v>#VALUE!</v>
      </c>
      <c r="S27" s="15" t="e">
        <f t="shared" si="34"/>
        <v>#VALUE!</v>
      </c>
      <c r="T27" s="15" t="e">
        <f t="shared" si="7"/>
        <v>#VALUE!</v>
      </c>
      <c r="U27" s="15" t="e">
        <f t="shared" si="8"/>
        <v>#VALUE!</v>
      </c>
      <c r="V27" s="15" t="e">
        <f t="shared" si="1"/>
        <v>#VALUE!</v>
      </c>
      <c r="W27" s="16" t="e">
        <f t="shared" si="9"/>
        <v>#VALUE!</v>
      </c>
      <c r="X27" t="e">
        <f t="shared" si="10"/>
        <v>#VALUE!</v>
      </c>
      <c r="Y27" t="e">
        <f t="shared" si="11"/>
        <v>#VALUE!</v>
      </c>
      <c r="Z27" t="e">
        <f t="shared" si="12"/>
        <v>#VALUE!</v>
      </c>
      <c r="AA27" t="e">
        <f t="shared" si="13"/>
        <v>#VALUE!</v>
      </c>
      <c r="AB27" t="e">
        <f t="shared" si="14"/>
        <v>#VALUE!</v>
      </c>
      <c r="AC27" t="e">
        <f t="shared" si="15"/>
        <v>#VALUE!</v>
      </c>
      <c r="AD27" t="e">
        <f t="shared" si="16"/>
        <v>#VALUE!</v>
      </c>
      <c r="AE27" s="15" t="e">
        <f t="shared" si="17"/>
        <v>#VALUE!</v>
      </c>
      <c r="AF27" t="e">
        <f t="shared" si="18"/>
        <v>#VALUE!</v>
      </c>
      <c r="AG27" t="e">
        <f t="shared" si="19"/>
        <v>#VALUE!</v>
      </c>
      <c r="AH27" t="e">
        <f t="shared" si="20"/>
        <v>#VALUE!</v>
      </c>
      <c r="AI27" t="e">
        <f t="shared" si="21"/>
        <v>#VALUE!</v>
      </c>
      <c r="AJ27" s="15" t="e">
        <f t="shared" si="22"/>
        <v>#VALUE!</v>
      </c>
      <c r="AK27" t="e">
        <f t="shared" si="23"/>
        <v>#VALUE!</v>
      </c>
      <c r="AL27" t="e">
        <f t="shared" si="24"/>
        <v>#VALUE!</v>
      </c>
      <c r="AM27" t="e">
        <f t="shared" si="25"/>
        <v>#VALUE!</v>
      </c>
      <c r="AN27" t="e">
        <f t="shared" si="26"/>
        <v>#VALUE!</v>
      </c>
      <c r="AO27" s="15" t="e">
        <f t="shared" si="27"/>
        <v>#VALUE!</v>
      </c>
      <c r="AP27" t="e">
        <f t="shared" si="28"/>
        <v>#VALUE!</v>
      </c>
      <c r="AQ27" t="e">
        <f t="shared" si="29"/>
        <v>#VALUE!</v>
      </c>
      <c r="AR27" t="e">
        <f t="shared" si="30"/>
        <v>#VALUE!</v>
      </c>
      <c r="AS27" t="e">
        <f t="shared" si="31"/>
        <v>#VALUE!</v>
      </c>
      <c r="AT27" s="15" t="e">
        <f t="shared" si="32"/>
        <v>#VALUE!</v>
      </c>
      <c r="AU27" t="e">
        <f t="shared" si="33"/>
        <v>#VALUE!</v>
      </c>
      <c r="AW27" t="e">
        <f t="shared" si="2"/>
        <v>#VALUE!</v>
      </c>
      <c r="AX27" s="15" t="e">
        <f t="shared" si="3"/>
        <v>#VALUE!</v>
      </c>
      <c r="AY27" s="15"/>
    </row>
    <row r="28" spans="1:51" ht="12.75">
      <c r="A28" s="1" t="s">
        <v>19</v>
      </c>
      <c r="B28" s="3"/>
      <c r="C28" s="144">
        <f>SUM(C29:C35)</f>
        <v>0.0312811020229751</v>
      </c>
      <c r="D28" s="163"/>
      <c r="E28" s="5">
        <f>SUM(E29:E35)</f>
        <v>267.7996791208467</v>
      </c>
      <c r="F28" s="3"/>
      <c r="G28" s="6">
        <f>SUM(G29:G35)</f>
        <v>11.544520584823108</v>
      </c>
      <c r="H28" s="226"/>
      <c r="I28" s="226"/>
      <c r="J28" s="13">
        <f aca="true" t="shared" si="35" ref="J28:J43">I28-H28</f>
        <v>0</v>
      </c>
      <c r="K28" s="148"/>
      <c r="L28" s="133"/>
      <c r="M28" s="133"/>
      <c r="N28" s="133"/>
      <c r="P28" s="15"/>
      <c r="Q28" s="5"/>
      <c r="T28" s="15">
        <f aca="true" t="shared" si="36" ref="T28:T43">IF(S28=0,Q28*I28,0)</f>
        <v>0</v>
      </c>
      <c r="U28" s="15">
        <f aca="true" t="shared" si="37" ref="U28:U43">IF(S28=0,0,S28*I28)</f>
        <v>0</v>
      </c>
      <c r="V28" s="15" t="e">
        <f t="shared" si="1"/>
        <v>#VALUE!</v>
      </c>
      <c r="W28" s="16">
        <f aca="true" t="shared" si="38" ref="W28:W43">IF(I28=0,0,V28/I28)</f>
        <v>0</v>
      </c>
      <c r="X28">
        <f aca="true" t="shared" si="39" ref="X28:X43">IF(W28&lt;Q28,W28,0)</f>
        <v>0</v>
      </c>
      <c r="Y28">
        <f aca="true" t="shared" si="40" ref="Y28:Y43">IF(X28=0,Q28*I28,0)</f>
        <v>0</v>
      </c>
      <c r="Z28">
        <f aca="true" t="shared" si="41" ref="Z28:Z43">IF(X28=0,0,I28*X28)</f>
        <v>0</v>
      </c>
      <c r="AA28" t="e">
        <f aca="true" t="shared" si="42" ref="AA28:AA43">$AA$7/$Z$7*Z28</f>
        <v>#VALUE!</v>
      </c>
      <c r="AB28">
        <f aca="true" t="shared" si="43" ref="AB28:AB43">IF(I28=0,0,AA28/I28)</f>
        <v>0</v>
      </c>
      <c r="AC28">
        <f aca="true" t="shared" si="44" ref="AC28:AC43">IF(AB28&lt;Q28,AB28,0)</f>
        <v>0</v>
      </c>
      <c r="AD28">
        <f aca="true" t="shared" si="45" ref="AD28:AD43">IF(AC28=0,$Q28*$I28,0)</f>
        <v>0</v>
      </c>
      <c r="AE28" s="15">
        <f aca="true" t="shared" si="46" ref="AE28:AE43">IF(AC28=0,0,AC28*$I28)</f>
        <v>0</v>
      </c>
      <c r="AF28" t="e">
        <f aca="true" t="shared" si="47" ref="AF28:AF43">$AF$7/$AE$7*AE28</f>
        <v>#VALUE!</v>
      </c>
      <c r="AG28">
        <f aca="true" t="shared" si="48" ref="AG28:AG43">IF($I28=0,0,AF28/$I28)</f>
        <v>0</v>
      </c>
      <c r="AH28">
        <f aca="true" t="shared" si="49" ref="AH28:AH43">IF(AG28&lt;$Q28,AG28,0)</f>
        <v>0</v>
      </c>
      <c r="AI28">
        <f aca="true" t="shared" si="50" ref="AI28:AI43">IF(AH28=0,$Q28*$I28,0)</f>
        <v>0</v>
      </c>
      <c r="AJ28" s="15">
        <f aca="true" t="shared" si="51" ref="AJ28:AJ43">IF(AH28=0,0,AH28*$I28)</f>
        <v>0</v>
      </c>
      <c r="AK28" t="e">
        <f aca="true" t="shared" si="52" ref="AK28:AK43">$AK$7/$AJ$7*AJ28</f>
        <v>#VALUE!</v>
      </c>
      <c r="AL28">
        <f aca="true" t="shared" si="53" ref="AL28:AL43">IF($I28=0,0,AK28/$I28)</f>
        <v>0</v>
      </c>
      <c r="AM28">
        <f aca="true" t="shared" si="54" ref="AM28:AM43">IF(AL28&lt;$Q28,AL28,0)</f>
        <v>0</v>
      </c>
      <c r="AN28">
        <f aca="true" t="shared" si="55" ref="AN28:AN43">IF(AM28=0,$Q28*$I28,0)</f>
        <v>0</v>
      </c>
      <c r="AO28" s="15">
        <f aca="true" t="shared" si="56" ref="AO28:AO43">IF(AM28=0,0,AM28*$I28)</f>
        <v>0</v>
      </c>
      <c r="AP28" t="e">
        <f aca="true" t="shared" si="57" ref="AP28:AP43">$AP$7/$AO$7*AO28</f>
        <v>#VALUE!</v>
      </c>
      <c r="AQ28">
        <f aca="true" t="shared" si="58" ref="AQ28:AQ43">IF($I28=0,0,AP28/$I28)</f>
        <v>0</v>
      </c>
      <c r="AR28">
        <f aca="true" t="shared" si="59" ref="AR28:AR43">IF(AQ28&lt;$Q28,AQ28,0)</f>
        <v>0</v>
      </c>
      <c r="AS28">
        <f aca="true" t="shared" si="60" ref="AS28:AS43">IF(AR28=0,$Q28*$I28,0)</f>
        <v>0</v>
      </c>
      <c r="AT28" s="15">
        <f aca="true" t="shared" si="61" ref="AT28:AT43">IF(AR28=0,0,AR28*$I28)</f>
        <v>0</v>
      </c>
      <c r="AU28" t="e">
        <f aca="true" t="shared" si="62" ref="AU28:AU43">$AU$7/$AT$7*AT28</f>
        <v>#VALUE!</v>
      </c>
      <c r="AW28">
        <f t="shared" si="2"/>
        <v>0</v>
      </c>
      <c r="AX28" s="15" t="e">
        <f t="shared" si="3"/>
        <v>#VALUE!</v>
      </c>
      <c r="AY28" s="15" t="e">
        <f>SUM(AW29:AX35)</f>
        <v>#VALUE!</v>
      </c>
    </row>
    <row r="29" spans="1:51" ht="12.75">
      <c r="A29" s="1" t="s">
        <v>20</v>
      </c>
      <c r="B29" s="1" t="s">
        <v>119</v>
      </c>
      <c r="C29" s="144">
        <v>0.0018660146069843118</v>
      </c>
      <c r="D29" s="163">
        <v>0.6276992391991798</v>
      </c>
      <c r="E29" s="5">
        <f aca="true" t="shared" si="63" ref="E29:E35">F29*$D29</f>
        <v>42.69034385857348</v>
      </c>
      <c r="F29" s="5">
        <v>68.01082619287212</v>
      </c>
      <c r="G29" s="6">
        <f aca="true" t="shared" si="64" ref="G29:G35">H29*$D29</f>
        <v>1.4424986933066544</v>
      </c>
      <c r="H29" s="226">
        <v>2.29807303119723</v>
      </c>
      <c r="I29" s="226">
        <v>2.29807303119723</v>
      </c>
      <c r="J29" s="13">
        <f t="shared" si="35"/>
        <v>0</v>
      </c>
      <c r="K29" s="148">
        <v>0.0018660146069843118</v>
      </c>
      <c r="L29" s="133">
        <v>0.002906991790904356</v>
      </c>
      <c r="M29" s="133">
        <v>343.9982194407584</v>
      </c>
      <c r="N29" s="133">
        <v>0.012176768452057944</v>
      </c>
      <c r="O29" s="15" t="e">
        <f aca="true" t="shared" si="65" ref="O29:O42">N29*$O$7</f>
        <v>#VALUE!</v>
      </c>
      <c r="P29" s="15" t="e">
        <f aca="true" t="shared" si="66" ref="P29:P42">O29/I29</f>
        <v>#VALUE!</v>
      </c>
      <c r="Q29" s="5">
        <v>0.6276992391991798</v>
      </c>
      <c r="R29" s="15" t="e">
        <f aca="true" t="shared" si="67" ref="R29:R42">IF(P29&lt;Q29,P29*H29,0)</f>
        <v>#VALUE!</v>
      </c>
      <c r="S29" s="15" t="e">
        <f aca="true" t="shared" si="68" ref="S29:S42">IF(P29&lt;Q29,P19:P29,0)</f>
        <v>#VALUE!</v>
      </c>
      <c r="T29" s="15" t="e">
        <f t="shared" si="36"/>
        <v>#VALUE!</v>
      </c>
      <c r="U29" s="15" t="e">
        <f t="shared" si="37"/>
        <v>#VALUE!</v>
      </c>
      <c r="V29" s="15" t="e">
        <f t="shared" si="1"/>
        <v>#VALUE!</v>
      </c>
      <c r="W29" s="16" t="e">
        <f t="shared" si="38"/>
        <v>#VALUE!</v>
      </c>
      <c r="X29" t="e">
        <f t="shared" si="39"/>
        <v>#VALUE!</v>
      </c>
      <c r="Y29" t="e">
        <f t="shared" si="40"/>
        <v>#VALUE!</v>
      </c>
      <c r="Z29" t="e">
        <f t="shared" si="41"/>
        <v>#VALUE!</v>
      </c>
      <c r="AA29" t="e">
        <f t="shared" si="42"/>
        <v>#VALUE!</v>
      </c>
      <c r="AB29" t="e">
        <f t="shared" si="43"/>
        <v>#VALUE!</v>
      </c>
      <c r="AC29" t="e">
        <f t="shared" si="44"/>
        <v>#VALUE!</v>
      </c>
      <c r="AD29" t="e">
        <f t="shared" si="45"/>
        <v>#VALUE!</v>
      </c>
      <c r="AE29" s="15" t="e">
        <f t="shared" si="46"/>
        <v>#VALUE!</v>
      </c>
      <c r="AF29" t="e">
        <f t="shared" si="47"/>
        <v>#VALUE!</v>
      </c>
      <c r="AG29" t="e">
        <f t="shared" si="48"/>
        <v>#VALUE!</v>
      </c>
      <c r="AH29" t="e">
        <f t="shared" si="49"/>
        <v>#VALUE!</v>
      </c>
      <c r="AI29" t="e">
        <f t="shared" si="50"/>
        <v>#VALUE!</v>
      </c>
      <c r="AJ29" s="15" t="e">
        <f t="shared" si="51"/>
        <v>#VALUE!</v>
      </c>
      <c r="AK29" t="e">
        <f t="shared" si="52"/>
        <v>#VALUE!</v>
      </c>
      <c r="AL29" t="e">
        <f t="shared" si="53"/>
        <v>#VALUE!</v>
      </c>
      <c r="AM29" t="e">
        <f t="shared" si="54"/>
        <v>#VALUE!</v>
      </c>
      <c r="AN29" t="e">
        <f t="shared" si="55"/>
        <v>#VALUE!</v>
      </c>
      <c r="AO29" s="15" t="e">
        <f t="shared" si="56"/>
        <v>#VALUE!</v>
      </c>
      <c r="AP29" t="e">
        <f t="shared" si="57"/>
        <v>#VALUE!</v>
      </c>
      <c r="AQ29" t="e">
        <f t="shared" si="58"/>
        <v>#VALUE!</v>
      </c>
      <c r="AR29" t="e">
        <f t="shared" si="59"/>
        <v>#VALUE!</v>
      </c>
      <c r="AS29" t="e">
        <f t="shared" si="60"/>
        <v>#VALUE!</v>
      </c>
      <c r="AT29" s="15" t="e">
        <f t="shared" si="61"/>
        <v>#VALUE!</v>
      </c>
      <c r="AU29" t="e">
        <f t="shared" si="62"/>
        <v>#VALUE!</v>
      </c>
      <c r="AW29" t="e">
        <f t="shared" si="2"/>
        <v>#VALUE!</v>
      </c>
      <c r="AX29" s="15" t="e">
        <f t="shared" si="3"/>
        <v>#VALUE!</v>
      </c>
      <c r="AY29" s="15"/>
    </row>
    <row r="30" spans="1:51" ht="12.75">
      <c r="A30" s="1" t="s">
        <v>21</v>
      </c>
      <c r="B30" s="1" t="s">
        <v>123</v>
      </c>
      <c r="C30" s="144">
        <v>0.0023235597998922724</v>
      </c>
      <c r="D30" s="163">
        <v>0.7816105582277685</v>
      </c>
      <c r="E30" s="5">
        <f t="shared" si="63"/>
        <v>19.512159572598396</v>
      </c>
      <c r="F30" s="5">
        <v>24.9640429843226</v>
      </c>
      <c r="G30" s="6">
        <f t="shared" si="64"/>
        <v>0.6011856163166869</v>
      </c>
      <c r="H30" s="226">
        <v>0.76916260916411</v>
      </c>
      <c r="I30" s="226">
        <v>0.76916260916411</v>
      </c>
      <c r="J30" s="13">
        <f t="shared" si="35"/>
        <v>0</v>
      </c>
      <c r="K30" s="148">
        <v>0.0023235597998922724</v>
      </c>
      <c r="L30" s="133">
        <v>0.003619783703021673</v>
      </c>
      <c r="M30" s="133">
        <v>276.2596005847625</v>
      </c>
      <c r="N30" s="133">
        <v>0.009778972677380343</v>
      </c>
      <c r="O30" s="15" t="e">
        <f t="shared" si="65"/>
        <v>#VALUE!</v>
      </c>
      <c r="P30" s="15" t="e">
        <f t="shared" si="66"/>
        <v>#VALUE!</v>
      </c>
      <c r="Q30" s="5">
        <v>0.7816105582277685</v>
      </c>
      <c r="R30" s="15" t="e">
        <f t="shared" si="67"/>
        <v>#VALUE!</v>
      </c>
      <c r="S30" s="15" t="e">
        <f t="shared" si="68"/>
        <v>#VALUE!</v>
      </c>
      <c r="T30" s="15" t="e">
        <f t="shared" si="36"/>
        <v>#VALUE!</v>
      </c>
      <c r="U30" s="15" t="e">
        <f t="shared" si="37"/>
        <v>#VALUE!</v>
      </c>
      <c r="V30" s="15" t="e">
        <f t="shared" si="1"/>
        <v>#VALUE!</v>
      </c>
      <c r="W30" s="16" t="e">
        <f t="shared" si="38"/>
        <v>#VALUE!</v>
      </c>
      <c r="X30" t="e">
        <f t="shared" si="39"/>
        <v>#VALUE!</v>
      </c>
      <c r="Y30" t="e">
        <f t="shared" si="40"/>
        <v>#VALUE!</v>
      </c>
      <c r="Z30" t="e">
        <f t="shared" si="41"/>
        <v>#VALUE!</v>
      </c>
      <c r="AA30" t="e">
        <f t="shared" si="42"/>
        <v>#VALUE!</v>
      </c>
      <c r="AB30" t="e">
        <f t="shared" si="43"/>
        <v>#VALUE!</v>
      </c>
      <c r="AC30" t="e">
        <f t="shared" si="44"/>
        <v>#VALUE!</v>
      </c>
      <c r="AD30" t="e">
        <f t="shared" si="45"/>
        <v>#VALUE!</v>
      </c>
      <c r="AE30" s="15" t="e">
        <f t="shared" si="46"/>
        <v>#VALUE!</v>
      </c>
      <c r="AF30" t="e">
        <f t="shared" si="47"/>
        <v>#VALUE!</v>
      </c>
      <c r="AG30" t="e">
        <f t="shared" si="48"/>
        <v>#VALUE!</v>
      </c>
      <c r="AH30" t="e">
        <f t="shared" si="49"/>
        <v>#VALUE!</v>
      </c>
      <c r="AI30" t="e">
        <f t="shared" si="50"/>
        <v>#VALUE!</v>
      </c>
      <c r="AJ30" s="15" t="e">
        <f t="shared" si="51"/>
        <v>#VALUE!</v>
      </c>
      <c r="AK30" t="e">
        <f t="shared" si="52"/>
        <v>#VALUE!</v>
      </c>
      <c r="AL30" t="e">
        <f t="shared" si="53"/>
        <v>#VALUE!</v>
      </c>
      <c r="AM30" t="e">
        <f t="shared" si="54"/>
        <v>#VALUE!</v>
      </c>
      <c r="AN30" t="e">
        <f t="shared" si="55"/>
        <v>#VALUE!</v>
      </c>
      <c r="AO30" s="15" t="e">
        <f t="shared" si="56"/>
        <v>#VALUE!</v>
      </c>
      <c r="AP30" t="e">
        <f t="shared" si="57"/>
        <v>#VALUE!</v>
      </c>
      <c r="AQ30" t="e">
        <f t="shared" si="58"/>
        <v>#VALUE!</v>
      </c>
      <c r="AR30" t="e">
        <f t="shared" si="59"/>
        <v>#VALUE!</v>
      </c>
      <c r="AS30" t="e">
        <f t="shared" si="60"/>
        <v>#VALUE!</v>
      </c>
      <c r="AT30" s="15" t="e">
        <f t="shared" si="61"/>
        <v>#VALUE!</v>
      </c>
      <c r="AU30" t="e">
        <f t="shared" si="62"/>
        <v>#VALUE!</v>
      </c>
      <c r="AW30" t="e">
        <f t="shared" si="2"/>
        <v>#VALUE!</v>
      </c>
      <c r="AX30" s="15" t="e">
        <f t="shared" si="3"/>
        <v>#VALUE!</v>
      </c>
      <c r="AY30" s="15"/>
    </row>
    <row r="31" spans="1:51" ht="12.75">
      <c r="A31" s="1" t="s">
        <v>22</v>
      </c>
      <c r="B31" s="1" t="s">
        <v>123</v>
      </c>
      <c r="C31" s="144">
        <v>0.010800837298343073</v>
      </c>
      <c r="D31" s="163">
        <v>3.6332391662468217</v>
      </c>
      <c r="E31" s="5">
        <f t="shared" si="63"/>
        <v>67.9413738937008</v>
      </c>
      <c r="F31" s="5">
        <v>18.699945361396352</v>
      </c>
      <c r="G31" s="6">
        <f t="shared" si="64"/>
        <v>2.5039928953144774</v>
      </c>
      <c r="H31" s="226">
        <v>0.6891902186282801</v>
      </c>
      <c r="I31" s="226">
        <v>0.6891902186282801</v>
      </c>
      <c r="J31" s="13">
        <f t="shared" si="35"/>
        <v>0</v>
      </c>
      <c r="K31" s="148">
        <v>0.010800837298343073</v>
      </c>
      <c r="L31" s="133">
        <v>0.016826205563266992</v>
      </c>
      <c r="M31" s="133">
        <v>59.43110561914703</v>
      </c>
      <c r="N31" s="133">
        <v>0.0021037283656602803</v>
      </c>
      <c r="O31" s="15" t="e">
        <f t="shared" si="65"/>
        <v>#VALUE!</v>
      </c>
      <c r="P31" s="15" t="e">
        <f t="shared" si="66"/>
        <v>#VALUE!</v>
      </c>
      <c r="Q31" s="5">
        <v>3.6332391662468217</v>
      </c>
      <c r="R31" s="15" t="e">
        <f t="shared" si="67"/>
        <v>#VALUE!</v>
      </c>
      <c r="S31" s="15" t="e">
        <f t="shared" si="68"/>
        <v>#VALUE!</v>
      </c>
      <c r="T31" s="15" t="e">
        <f t="shared" si="36"/>
        <v>#VALUE!</v>
      </c>
      <c r="U31" s="15" t="e">
        <f t="shared" si="37"/>
        <v>#VALUE!</v>
      </c>
      <c r="V31" s="15" t="e">
        <f t="shared" si="1"/>
        <v>#VALUE!</v>
      </c>
      <c r="W31" s="16" t="e">
        <f t="shared" si="38"/>
        <v>#VALUE!</v>
      </c>
      <c r="X31" t="e">
        <f t="shared" si="39"/>
        <v>#VALUE!</v>
      </c>
      <c r="Y31" t="e">
        <f t="shared" si="40"/>
        <v>#VALUE!</v>
      </c>
      <c r="Z31" t="e">
        <f t="shared" si="41"/>
        <v>#VALUE!</v>
      </c>
      <c r="AA31" t="e">
        <f t="shared" si="42"/>
        <v>#VALUE!</v>
      </c>
      <c r="AB31" t="e">
        <f t="shared" si="43"/>
        <v>#VALUE!</v>
      </c>
      <c r="AC31" t="e">
        <f t="shared" si="44"/>
        <v>#VALUE!</v>
      </c>
      <c r="AD31" t="e">
        <f t="shared" si="45"/>
        <v>#VALUE!</v>
      </c>
      <c r="AE31" s="15" t="e">
        <f t="shared" si="46"/>
        <v>#VALUE!</v>
      </c>
      <c r="AF31" t="e">
        <f t="shared" si="47"/>
        <v>#VALUE!</v>
      </c>
      <c r="AG31" t="e">
        <f t="shared" si="48"/>
        <v>#VALUE!</v>
      </c>
      <c r="AH31" t="e">
        <f t="shared" si="49"/>
        <v>#VALUE!</v>
      </c>
      <c r="AI31" t="e">
        <f t="shared" si="50"/>
        <v>#VALUE!</v>
      </c>
      <c r="AJ31" s="15" t="e">
        <f t="shared" si="51"/>
        <v>#VALUE!</v>
      </c>
      <c r="AK31" t="e">
        <f t="shared" si="52"/>
        <v>#VALUE!</v>
      </c>
      <c r="AL31" t="e">
        <f t="shared" si="53"/>
        <v>#VALUE!</v>
      </c>
      <c r="AM31" t="e">
        <f t="shared" si="54"/>
        <v>#VALUE!</v>
      </c>
      <c r="AN31" t="e">
        <f t="shared" si="55"/>
        <v>#VALUE!</v>
      </c>
      <c r="AO31" s="15" t="e">
        <f t="shared" si="56"/>
        <v>#VALUE!</v>
      </c>
      <c r="AP31" t="e">
        <f t="shared" si="57"/>
        <v>#VALUE!</v>
      </c>
      <c r="AQ31" t="e">
        <f t="shared" si="58"/>
        <v>#VALUE!</v>
      </c>
      <c r="AR31" t="e">
        <f t="shared" si="59"/>
        <v>#VALUE!</v>
      </c>
      <c r="AS31" t="e">
        <f t="shared" si="60"/>
        <v>#VALUE!</v>
      </c>
      <c r="AT31" s="15" t="e">
        <f t="shared" si="61"/>
        <v>#VALUE!</v>
      </c>
      <c r="AU31" t="e">
        <f t="shared" si="62"/>
        <v>#VALUE!</v>
      </c>
      <c r="AW31" t="e">
        <f t="shared" si="2"/>
        <v>#VALUE!</v>
      </c>
      <c r="AX31" s="15" t="e">
        <f t="shared" si="3"/>
        <v>#VALUE!</v>
      </c>
      <c r="AY31" s="15"/>
    </row>
    <row r="32" spans="1:51" ht="12.75">
      <c r="A32" s="1" t="s">
        <v>23</v>
      </c>
      <c r="B32" s="1" t="s">
        <v>119</v>
      </c>
      <c r="C32" s="144">
        <v>0.002004787150140309</v>
      </c>
      <c r="D32" s="163">
        <v>0.674380234854155</v>
      </c>
      <c r="E32" s="5">
        <f t="shared" si="63"/>
        <v>19.957564444317057</v>
      </c>
      <c r="F32" s="5">
        <v>29.59393441985023</v>
      </c>
      <c r="G32" s="6">
        <f t="shared" si="64"/>
        <v>0.736667070206036</v>
      </c>
      <c r="H32" s="226">
        <v>1.09236159681541</v>
      </c>
      <c r="I32" s="226">
        <v>1.09236159681541</v>
      </c>
      <c r="J32" s="13">
        <f t="shared" si="35"/>
        <v>0</v>
      </c>
      <c r="K32" s="148">
        <v>0.002004787150140309</v>
      </c>
      <c r="L32" s="133">
        <v>0.0031231801541934095</v>
      </c>
      <c r="M32" s="133">
        <v>320.18646079616224</v>
      </c>
      <c r="N32" s="133">
        <v>0.011333885393177836</v>
      </c>
      <c r="O32" s="15" t="e">
        <f t="shared" si="65"/>
        <v>#VALUE!</v>
      </c>
      <c r="P32" s="15" t="e">
        <f t="shared" si="66"/>
        <v>#VALUE!</v>
      </c>
      <c r="Q32" s="5">
        <v>0.674380234854155</v>
      </c>
      <c r="R32" s="15" t="e">
        <f t="shared" si="67"/>
        <v>#VALUE!</v>
      </c>
      <c r="S32" s="15" t="e">
        <f t="shared" si="68"/>
        <v>#VALUE!</v>
      </c>
      <c r="T32" s="15" t="e">
        <f t="shared" si="36"/>
        <v>#VALUE!</v>
      </c>
      <c r="U32" s="15" t="e">
        <f t="shared" si="37"/>
        <v>#VALUE!</v>
      </c>
      <c r="V32" s="15" t="e">
        <f t="shared" si="1"/>
        <v>#VALUE!</v>
      </c>
      <c r="W32" s="16" t="e">
        <f t="shared" si="38"/>
        <v>#VALUE!</v>
      </c>
      <c r="X32" t="e">
        <f t="shared" si="39"/>
        <v>#VALUE!</v>
      </c>
      <c r="Y32" t="e">
        <f t="shared" si="40"/>
        <v>#VALUE!</v>
      </c>
      <c r="Z32" t="e">
        <f t="shared" si="41"/>
        <v>#VALUE!</v>
      </c>
      <c r="AA32" t="e">
        <f t="shared" si="42"/>
        <v>#VALUE!</v>
      </c>
      <c r="AB32" t="e">
        <f t="shared" si="43"/>
        <v>#VALUE!</v>
      </c>
      <c r="AC32" t="e">
        <f t="shared" si="44"/>
        <v>#VALUE!</v>
      </c>
      <c r="AD32" t="e">
        <f t="shared" si="45"/>
        <v>#VALUE!</v>
      </c>
      <c r="AE32" s="15" t="e">
        <f t="shared" si="46"/>
        <v>#VALUE!</v>
      </c>
      <c r="AF32" t="e">
        <f t="shared" si="47"/>
        <v>#VALUE!</v>
      </c>
      <c r="AG32" t="e">
        <f t="shared" si="48"/>
        <v>#VALUE!</v>
      </c>
      <c r="AH32" t="e">
        <f t="shared" si="49"/>
        <v>#VALUE!</v>
      </c>
      <c r="AI32" t="e">
        <f t="shared" si="50"/>
        <v>#VALUE!</v>
      </c>
      <c r="AJ32" s="15" t="e">
        <f t="shared" si="51"/>
        <v>#VALUE!</v>
      </c>
      <c r="AK32" t="e">
        <f t="shared" si="52"/>
        <v>#VALUE!</v>
      </c>
      <c r="AL32" t="e">
        <f t="shared" si="53"/>
        <v>#VALUE!</v>
      </c>
      <c r="AM32" t="e">
        <f t="shared" si="54"/>
        <v>#VALUE!</v>
      </c>
      <c r="AN32" t="e">
        <f t="shared" si="55"/>
        <v>#VALUE!</v>
      </c>
      <c r="AO32" s="15" t="e">
        <f t="shared" si="56"/>
        <v>#VALUE!</v>
      </c>
      <c r="AP32" t="e">
        <f t="shared" si="57"/>
        <v>#VALUE!</v>
      </c>
      <c r="AQ32" t="e">
        <f t="shared" si="58"/>
        <v>#VALUE!</v>
      </c>
      <c r="AR32" t="e">
        <f t="shared" si="59"/>
        <v>#VALUE!</v>
      </c>
      <c r="AS32" t="e">
        <f t="shared" si="60"/>
        <v>#VALUE!</v>
      </c>
      <c r="AT32" s="15" t="e">
        <f t="shared" si="61"/>
        <v>#VALUE!</v>
      </c>
      <c r="AU32" t="e">
        <f t="shared" si="62"/>
        <v>#VALUE!</v>
      </c>
      <c r="AW32" t="e">
        <f t="shared" si="2"/>
        <v>#VALUE!</v>
      </c>
      <c r="AX32" s="15" t="e">
        <f t="shared" si="3"/>
        <v>#VALUE!</v>
      </c>
      <c r="AY32" s="15"/>
    </row>
    <row r="33" spans="1:51" ht="12.75">
      <c r="A33" s="1" t="s">
        <v>232</v>
      </c>
      <c r="B33" s="1" t="s">
        <v>119</v>
      </c>
      <c r="C33" s="144">
        <v>0.0014802518416897612</v>
      </c>
      <c r="D33" s="163">
        <v>0.4979344488377092</v>
      </c>
      <c r="E33" s="5">
        <f t="shared" si="63"/>
        <v>23.572196287880065</v>
      </c>
      <c r="F33" s="5">
        <v>47.33995878956128</v>
      </c>
      <c r="G33" s="6">
        <f t="shared" si="64"/>
        <v>1.0094605398831062</v>
      </c>
      <c r="H33" s="226">
        <v>2.02729604717933</v>
      </c>
      <c r="I33" s="226">
        <v>2.02729604717933</v>
      </c>
      <c r="J33" s="13">
        <f t="shared" si="35"/>
        <v>0</v>
      </c>
      <c r="K33" s="148">
        <v>0.0014802518416897612</v>
      </c>
      <c r="L33" s="133">
        <v>0.002306026938994571</v>
      </c>
      <c r="M33" s="133">
        <v>433.6462784064442</v>
      </c>
      <c r="N33" s="133">
        <v>0.015350109459392974</v>
      </c>
      <c r="O33" s="15" t="e">
        <f t="shared" si="65"/>
        <v>#VALUE!</v>
      </c>
      <c r="P33" s="15" t="e">
        <f t="shared" si="66"/>
        <v>#VALUE!</v>
      </c>
      <c r="Q33" s="5">
        <v>0.4979344488377092</v>
      </c>
      <c r="R33" s="15" t="e">
        <f t="shared" si="67"/>
        <v>#VALUE!</v>
      </c>
      <c r="S33" s="15" t="e">
        <f t="shared" si="68"/>
        <v>#VALUE!</v>
      </c>
      <c r="T33" s="15" t="e">
        <f t="shared" si="36"/>
        <v>#VALUE!</v>
      </c>
      <c r="U33" s="15" t="e">
        <f t="shared" si="37"/>
        <v>#VALUE!</v>
      </c>
      <c r="V33" s="15" t="e">
        <f t="shared" si="1"/>
        <v>#VALUE!</v>
      </c>
      <c r="W33" s="16" t="e">
        <f t="shared" si="38"/>
        <v>#VALUE!</v>
      </c>
      <c r="X33" t="e">
        <f t="shared" si="39"/>
        <v>#VALUE!</v>
      </c>
      <c r="Y33" t="e">
        <f t="shared" si="40"/>
        <v>#VALUE!</v>
      </c>
      <c r="Z33" t="e">
        <f t="shared" si="41"/>
        <v>#VALUE!</v>
      </c>
      <c r="AA33" t="e">
        <f t="shared" si="42"/>
        <v>#VALUE!</v>
      </c>
      <c r="AB33" t="e">
        <f t="shared" si="43"/>
        <v>#VALUE!</v>
      </c>
      <c r="AC33" t="e">
        <f t="shared" si="44"/>
        <v>#VALUE!</v>
      </c>
      <c r="AD33" t="e">
        <f t="shared" si="45"/>
        <v>#VALUE!</v>
      </c>
      <c r="AE33" s="15" t="e">
        <f t="shared" si="46"/>
        <v>#VALUE!</v>
      </c>
      <c r="AF33" t="e">
        <f t="shared" si="47"/>
        <v>#VALUE!</v>
      </c>
      <c r="AG33" t="e">
        <f t="shared" si="48"/>
        <v>#VALUE!</v>
      </c>
      <c r="AH33" t="e">
        <f t="shared" si="49"/>
        <v>#VALUE!</v>
      </c>
      <c r="AI33" t="e">
        <f t="shared" si="50"/>
        <v>#VALUE!</v>
      </c>
      <c r="AJ33" s="15" t="e">
        <f t="shared" si="51"/>
        <v>#VALUE!</v>
      </c>
      <c r="AK33" t="e">
        <f t="shared" si="52"/>
        <v>#VALUE!</v>
      </c>
      <c r="AL33" t="e">
        <f t="shared" si="53"/>
        <v>#VALUE!</v>
      </c>
      <c r="AM33" t="e">
        <f t="shared" si="54"/>
        <v>#VALUE!</v>
      </c>
      <c r="AN33" t="e">
        <f t="shared" si="55"/>
        <v>#VALUE!</v>
      </c>
      <c r="AO33" s="15" t="e">
        <f t="shared" si="56"/>
        <v>#VALUE!</v>
      </c>
      <c r="AP33" t="e">
        <f t="shared" si="57"/>
        <v>#VALUE!</v>
      </c>
      <c r="AQ33" t="e">
        <f t="shared" si="58"/>
        <v>#VALUE!</v>
      </c>
      <c r="AR33" t="e">
        <f t="shared" si="59"/>
        <v>#VALUE!</v>
      </c>
      <c r="AS33" t="e">
        <f t="shared" si="60"/>
        <v>#VALUE!</v>
      </c>
      <c r="AT33" s="15" t="e">
        <f t="shared" si="61"/>
        <v>#VALUE!</v>
      </c>
      <c r="AU33" t="e">
        <f t="shared" si="62"/>
        <v>#VALUE!</v>
      </c>
      <c r="AW33" t="e">
        <f t="shared" si="2"/>
        <v>#VALUE!</v>
      </c>
      <c r="AX33" s="15" t="e">
        <f t="shared" si="3"/>
        <v>#VALUE!</v>
      </c>
      <c r="AY33" s="15"/>
    </row>
    <row r="34" spans="1:51" ht="12.75">
      <c r="A34" s="1" t="s">
        <v>24</v>
      </c>
      <c r="B34" s="1" t="s">
        <v>123</v>
      </c>
      <c r="C34" s="144">
        <v>0.0011745410289575235</v>
      </c>
      <c r="D34" s="163">
        <v>0.3950979309193895</v>
      </c>
      <c r="E34" s="5">
        <f t="shared" si="63"/>
        <v>16.608462428124795</v>
      </c>
      <c r="F34" s="5">
        <v>42.03631841218972</v>
      </c>
      <c r="G34" s="6">
        <f t="shared" si="64"/>
        <v>0.745220996937262</v>
      </c>
      <c r="H34" s="226">
        <v>1.88616780453175</v>
      </c>
      <c r="I34" s="226">
        <v>1.88616780453175</v>
      </c>
      <c r="J34" s="13">
        <f t="shared" si="35"/>
        <v>0</v>
      </c>
      <c r="K34" s="148">
        <v>0.0011745410289575235</v>
      </c>
      <c r="L34" s="133">
        <v>0.0018297719195124083</v>
      </c>
      <c r="M34" s="133">
        <v>546.5162020119299</v>
      </c>
      <c r="N34" s="133">
        <v>0.019345452595702892</v>
      </c>
      <c r="O34" s="15" t="e">
        <f t="shared" si="65"/>
        <v>#VALUE!</v>
      </c>
      <c r="P34" s="15" t="e">
        <f t="shared" si="66"/>
        <v>#VALUE!</v>
      </c>
      <c r="Q34" s="5">
        <v>0.3950979309193895</v>
      </c>
      <c r="R34" s="15" t="e">
        <f t="shared" si="67"/>
        <v>#VALUE!</v>
      </c>
      <c r="S34" s="15" t="e">
        <f t="shared" si="68"/>
        <v>#VALUE!</v>
      </c>
      <c r="T34" s="15" t="e">
        <f t="shared" si="36"/>
        <v>#VALUE!</v>
      </c>
      <c r="U34" s="15" t="e">
        <f t="shared" si="37"/>
        <v>#VALUE!</v>
      </c>
      <c r="V34" s="15" t="e">
        <f t="shared" si="1"/>
        <v>#VALUE!</v>
      </c>
      <c r="W34" s="16" t="e">
        <f t="shared" si="38"/>
        <v>#VALUE!</v>
      </c>
      <c r="X34" t="e">
        <f t="shared" si="39"/>
        <v>#VALUE!</v>
      </c>
      <c r="Y34" t="e">
        <f t="shared" si="40"/>
        <v>#VALUE!</v>
      </c>
      <c r="Z34" t="e">
        <f t="shared" si="41"/>
        <v>#VALUE!</v>
      </c>
      <c r="AA34" t="e">
        <f t="shared" si="42"/>
        <v>#VALUE!</v>
      </c>
      <c r="AB34" t="e">
        <f t="shared" si="43"/>
        <v>#VALUE!</v>
      </c>
      <c r="AC34" t="e">
        <f t="shared" si="44"/>
        <v>#VALUE!</v>
      </c>
      <c r="AD34" t="e">
        <f t="shared" si="45"/>
        <v>#VALUE!</v>
      </c>
      <c r="AE34" s="15" t="e">
        <f t="shared" si="46"/>
        <v>#VALUE!</v>
      </c>
      <c r="AF34" t="e">
        <f t="shared" si="47"/>
        <v>#VALUE!</v>
      </c>
      <c r="AG34" t="e">
        <f t="shared" si="48"/>
        <v>#VALUE!</v>
      </c>
      <c r="AH34" t="e">
        <f t="shared" si="49"/>
        <v>#VALUE!</v>
      </c>
      <c r="AI34" t="e">
        <f t="shared" si="50"/>
        <v>#VALUE!</v>
      </c>
      <c r="AJ34" s="15" t="e">
        <f t="shared" si="51"/>
        <v>#VALUE!</v>
      </c>
      <c r="AK34" t="e">
        <f t="shared" si="52"/>
        <v>#VALUE!</v>
      </c>
      <c r="AL34" t="e">
        <f t="shared" si="53"/>
        <v>#VALUE!</v>
      </c>
      <c r="AM34" t="e">
        <f t="shared" si="54"/>
        <v>#VALUE!</v>
      </c>
      <c r="AN34" t="e">
        <f t="shared" si="55"/>
        <v>#VALUE!</v>
      </c>
      <c r="AO34" s="15" t="e">
        <f t="shared" si="56"/>
        <v>#VALUE!</v>
      </c>
      <c r="AP34" t="e">
        <f t="shared" si="57"/>
        <v>#VALUE!</v>
      </c>
      <c r="AQ34" t="e">
        <f t="shared" si="58"/>
        <v>#VALUE!</v>
      </c>
      <c r="AR34" t="e">
        <f t="shared" si="59"/>
        <v>#VALUE!</v>
      </c>
      <c r="AS34" t="e">
        <f t="shared" si="60"/>
        <v>#VALUE!</v>
      </c>
      <c r="AT34" s="15" t="e">
        <f t="shared" si="61"/>
        <v>#VALUE!</v>
      </c>
      <c r="AU34" t="e">
        <f t="shared" si="62"/>
        <v>#VALUE!</v>
      </c>
      <c r="AW34" t="e">
        <f t="shared" si="2"/>
        <v>#VALUE!</v>
      </c>
      <c r="AX34" s="15" t="e">
        <f t="shared" si="3"/>
        <v>#VALUE!</v>
      </c>
      <c r="AY34" s="15"/>
    </row>
    <row r="35" spans="1:51" ht="12.75">
      <c r="A35" s="1" t="s">
        <v>233</v>
      </c>
      <c r="B35" s="1" t="s">
        <v>119</v>
      </c>
      <c r="C35" s="144">
        <v>0.011631110296967848</v>
      </c>
      <c r="D35" s="163">
        <v>3.9125305113486952</v>
      </c>
      <c r="E35" s="5">
        <f t="shared" si="63"/>
        <v>77.5175786356521</v>
      </c>
      <c r="F35" s="5">
        <v>19.812645143802566</v>
      </c>
      <c r="G35" s="6">
        <f t="shared" si="64"/>
        <v>4.505494772858884</v>
      </c>
      <c r="H35" s="226">
        <v>1.15155517887726</v>
      </c>
      <c r="I35" s="226">
        <v>1.15155517887726</v>
      </c>
      <c r="J35" s="13">
        <f t="shared" si="35"/>
        <v>0</v>
      </c>
      <c r="K35" s="148">
        <v>0.011631110296967848</v>
      </c>
      <c r="L35" s="133">
        <v>0.018119655669272542</v>
      </c>
      <c r="M35" s="133">
        <v>55.188686708644695</v>
      </c>
      <c r="N35" s="133">
        <v>0.001953556214089841</v>
      </c>
      <c r="O35" s="15" t="e">
        <f t="shared" si="65"/>
        <v>#VALUE!</v>
      </c>
      <c r="P35" s="15" t="e">
        <f t="shared" si="66"/>
        <v>#VALUE!</v>
      </c>
      <c r="Q35" s="5">
        <v>3.9125305113486952</v>
      </c>
      <c r="R35" s="15" t="e">
        <f t="shared" si="67"/>
        <v>#VALUE!</v>
      </c>
      <c r="S35" s="15" t="e">
        <f t="shared" si="68"/>
        <v>#VALUE!</v>
      </c>
      <c r="T35" s="15" t="e">
        <f t="shared" si="36"/>
        <v>#VALUE!</v>
      </c>
      <c r="U35" s="15" t="e">
        <f t="shared" si="37"/>
        <v>#VALUE!</v>
      </c>
      <c r="V35" s="15" t="e">
        <f t="shared" si="1"/>
        <v>#VALUE!</v>
      </c>
      <c r="W35" s="16" t="e">
        <f t="shared" si="38"/>
        <v>#VALUE!</v>
      </c>
      <c r="X35" t="e">
        <f t="shared" si="39"/>
        <v>#VALUE!</v>
      </c>
      <c r="Y35" t="e">
        <f t="shared" si="40"/>
        <v>#VALUE!</v>
      </c>
      <c r="Z35" t="e">
        <f t="shared" si="41"/>
        <v>#VALUE!</v>
      </c>
      <c r="AA35" t="e">
        <f t="shared" si="42"/>
        <v>#VALUE!</v>
      </c>
      <c r="AB35" t="e">
        <f t="shared" si="43"/>
        <v>#VALUE!</v>
      </c>
      <c r="AC35" t="e">
        <f t="shared" si="44"/>
        <v>#VALUE!</v>
      </c>
      <c r="AD35" t="e">
        <f t="shared" si="45"/>
        <v>#VALUE!</v>
      </c>
      <c r="AE35" s="15" t="e">
        <f t="shared" si="46"/>
        <v>#VALUE!</v>
      </c>
      <c r="AF35" t="e">
        <f t="shared" si="47"/>
        <v>#VALUE!</v>
      </c>
      <c r="AG35" t="e">
        <f t="shared" si="48"/>
        <v>#VALUE!</v>
      </c>
      <c r="AH35" t="e">
        <f t="shared" si="49"/>
        <v>#VALUE!</v>
      </c>
      <c r="AI35" t="e">
        <f t="shared" si="50"/>
        <v>#VALUE!</v>
      </c>
      <c r="AJ35" s="15" t="e">
        <f t="shared" si="51"/>
        <v>#VALUE!</v>
      </c>
      <c r="AK35" t="e">
        <f t="shared" si="52"/>
        <v>#VALUE!</v>
      </c>
      <c r="AL35" t="e">
        <f t="shared" si="53"/>
        <v>#VALUE!</v>
      </c>
      <c r="AM35" t="e">
        <f t="shared" si="54"/>
        <v>#VALUE!</v>
      </c>
      <c r="AN35" t="e">
        <f t="shared" si="55"/>
        <v>#VALUE!</v>
      </c>
      <c r="AO35" s="15" t="e">
        <f t="shared" si="56"/>
        <v>#VALUE!</v>
      </c>
      <c r="AP35" t="e">
        <f t="shared" si="57"/>
        <v>#VALUE!</v>
      </c>
      <c r="AQ35" t="e">
        <f t="shared" si="58"/>
        <v>#VALUE!</v>
      </c>
      <c r="AR35" t="e">
        <f t="shared" si="59"/>
        <v>#VALUE!</v>
      </c>
      <c r="AS35" t="e">
        <f t="shared" si="60"/>
        <v>#VALUE!</v>
      </c>
      <c r="AT35" s="15" t="e">
        <f t="shared" si="61"/>
        <v>#VALUE!</v>
      </c>
      <c r="AU35" t="e">
        <f t="shared" si="62"/>
        <v>#VALUE!</v>
      </c>
      <c r="AW35" t="e">
        <f t="shared" si="2"/>
        <v>#VALUE!</v>
      </c>
      <c r="AX35" s="15" t="e">
        <f t="shared" si="3"/>
        <v>#VALUE!</v>
      </c>
      <c r="AY35" s="15"/>
    </row>
    <row r="36" spans="1:51" ht="12.75">
      <c r="A36" s="1" t="s">
        <v>25</v>
      </c>
      <c r="B36" s="3"/>
      <c r="C36" s="144">
        <f>SUM(C37:C38)</f>
        <v>0.06430277370602663</v>
      </c>
      <c r="D36" s="163"/>
      <c r="E36" s="5">
        <f>SUM(E37:E38)</f>
        <v>276.8276932514519</v>
      </c>
      <c r="F36" s="3"/>
      <c r="G36" s="6">
        <f>SUM(G37:G38)</f>
        <v>9.153094244730681</v>
      </c>
      <c r="H36" s="226"/>
      <c r="I36" s="226"/>
      <c r="J36" s="13">
        <f t="shared" si="35"/>
        <v>0</v>
      </c>
      <c r="K36" s="148"/>
      <c r="L36" s="133"/>
      <c r="M36" s="133"/>
      <c r="N36" s="133"/>
      <c r="P36" s="15"/>
      <c r="Q36" s="5"/>
      <c r="T36" s="15">
        <f t="shared" si="36"/>
        <v>0</v>
      </c>
      <c r="U36" s="15">
        <f t="shared" si="37"/>
        <v>0</v>
      </c>
      <c r="V36" s="15" t="e">
        <f t="shared" si="1"/>
        <v>#VALUE!</v>
      </c>
      <c r="W36" s="16">
        <f t="shared" si="38"/>
        <v>0</v>
      </c>
      <c r="X36">
        <f t="shared" si="39"/>
        <v>0</v>
      </c>
      <c r="Y36">
        <f t="shared" si="40"/>
        <v>0</v>
      </c>
      <c r="Z36">
        <f t="shared" si="41"/>
        <v>0</v>
      </c>
      <c r="AA36" t="e">
        <f t="shared" si="42"/>
        <v>#VALUE!</v>
      </c>
      <c r="AB36">
        <f t="shared" si="43"/>
        <v>0</v>
      </c>
      <c r="AC36">
        <f t="shared" si="44"/>
        <v>0</v>
      </c>
      <c r="AD36">
        <f t="shared" si="45"/>
        <v>0</v>
      </c>
      <c r="AE36" s="15">
        <f t="shared" si="46"/>
        <v>0</v>
      </c>
      <c r="AF36" t="e">
        <f t="shared" si="47"/>
        <v>#VALUE!</v>
      </c>
      <c r="AG36">
        <f t="shared" si="48"/>
        <v>0</v>
      </c>
      <c r="AH36">
        <f t="shared" si="49"/>
        <v>0</v>
      </c>
      <c r="AI36">
        <f t="shared" si="50"/>
        <v>0</v>
      </c>
      <c r="AJ36" s="15">
        <f t="shared" si="51"/>
        <v>0</v>
      </c>
      <c r="AK36" t="e">
        <f t="shared" si="52"/>
        <v>#VALUE!</v>
      </c>
      <c r="AL36">
        <f t="shared" si="53"/>
        <v>0</v>
      </c>
      <c r="AM36">
        <f t="shared" si="54"/>
        <v>0</v>
      </c>
      <c r="AN36">
        <f t="shared" si="55"/>
        <v>0</v>
      </c>
      <c r="AO36" s="15">
        <f t="shared" si="56"/>
        <v>0</v>
      </c>
      <c r="AP36" t="e">
        <f t="shared" si="57"/>
        <v>#VALUE!</v>
      </c>
      <c r="AQ36">
        <f t="shared" si="58"/>
        <v>0</v>
      </c>
      <c r="AR36">
        <f t="shared" si="59"/>
        <v>0</v>
      </c>
      <c r="AS36">
        <f t="shared" si="60"/>
        <v>0</v>
      </c>
      <c r="AT36" s="15">
        <f t="shared" si="61"/>
        <v>0</v>
      </c>
      <c r="AU36" t="e">
        <f t="shared" si="62"/>
        <v>#VALUE!</v>
      </c>
      <c r="AW36">
        <f t="shared" si="2"/>
        <v>0</v>
      </c>
      <c r="AX36" s="15" t="e">
        <f t="shared" si="3"/>
        <v>#VALUE!</v>
      </c>
      <c r="AY36" s="15" t="e">
        <f>SUM(AW37:AX38)</f>
        <v>#VALUE!</v>
      </c>
    </row>
    <row r="37" spans="1:51" ht="12.75">
      <c r="A37" s="1" t="s">
        <v>26</v>
      </c>
      <c r="B37" s="1" t="s">
        <v>119</v>
      </c>
      <c r="C37" s="144">
        <v>0.05610040231562338</v>
      </c>
      <c r="D37" s="163">
        <v>18.871331296379697</v>
      </c>
      <c r="E37" s="5">
        <f>F37*$D37</f>
        <v>247.69650154539082</v>
      </c>
      <c r="F37" s="5">
        <v>13.125544650520192</v>
      </c>
      <c r="G37" s="6">
        <f>H37*$D37</f>
        <v>8.185065652256855</v>
      </c>
      <c r="H37" s="226">
        <v>0.4337301658112</v>
      </c>
      <c r="I37" s="226">
        <v>0.4337301658112</v>
      </c>
      <c r="J37" s="13">
        <f t="shared" si="35"/>
        <v>0</v>
      </c>
      <c r="K37" s="148">
        <v>0.05610040231562338</v>
      </c>
      <c r="L37" s="133">
        <v>0.08739664115572489</v>
      </c>
      <c r="M37" s="133">
        <v>11.442087324822726</v>
      </c>
      <c r="N37" s="133">
        <v>0.00040502432887327115</v>
      </c>
      <c r="O37" s="15" t="e">
        <f t="shared" si="65"/>
        <v>#VALUE!</v>
      </c>
      <c r="P37" s="15" t="e">
        <f t="shared" si="66"/>
        <v>#VALUE!</v>
      </c>
      <c r="Q37" s="5">
        <v>18.871331296379697</v>
      </c>
      <c r="R37" s="15" t="e">
        <f t="shared" si="67"/>
        <v>#VALUE!</v>
      </c>
      <c r="S37" s="15" t="e">
        <f t="shared" si="68"/>
        <v>#VALUE!</v>
      </c>
      <c r="T37" s="15" t="e">
        <f t="shared" si="36"/>
        <v>#VALUE!</v>
      </c>
      <c r="U37" s="15" t="e">
        <f t="shared" si="37"/>
        <v>#VALUE!</v>
      </c>
      <c r="V37" s="15" t="e">
        <f t="shared" si="1"/>
        <v>#VALUE!</v>
      </c>
      <c r="W37" s="16" t="e">
        <f t="shared" si="38"/>
        <v>#VALUE!</v>
      </c>
      <c r="X37" t="e">
        <f t="shared" si="39"/>
        <v>#VALUE!</v>
      </c>
      <c r="Y37" t="e">
        <f t="shared" si="40"/>
        <v>#VALUE!</v>
      </c>
      <c r="Z37" t="e">
        <f t="shared" si="41"/>
        <v>#VALUE!</v>
      </c>
      <c r="AA37" t="e">
        <f t="shared" si="42"/>
        <v>#VALUE!</v>
      </c>
      <c r="AB37" t="e">
        <f t="shared" si="43"/>
        <v>#VALUE!</v>
      </c>
      <c r="AC37" t="e">
        <f t="shared" si="44"/>
        <v>#VALUE!</v>
      </c>
      <c r="AD37" t="e">
        <f t="shared" si="45"/>
        <v>#VALUE!</v>
      </c>
      <c r="AE37" s="15" t="e">
        <f t="shared" si="46"/>
        <v>#VALUE!</v>
      </c>
      <c r="AF37" t="e">
        <f t="shared" si="47"/>
        <v>#VALUE!</v>
      </c>
      <c r="AG37" t="e">
        <f t="shared" si="48"/>
        <v>#VALUE!</v>
      </c>
      <c r="AH37" t="e">
        <f t="shared" si="49"/>
        <v>#VALUE!</v>
      </c>
      <c r="AI37" t="e">
        <f t="shared" si="50"/>
        <v>#VALUE!</v>
      </c>
      <c r="AJ37" s="15" t="e">
        <f t="shared" si="51"/>
        <v>#VALUE!</v>
      </c>
      <c r="AK37" t="e">
        <f t="shared" si="52"/>
        <v>#VALUE!</v>
      </c>
      <c r="AL37" t="e">
        <f t="shared" si="53"/>
        <v>#VALUE!</v>
      </c>
      <c r="AM37" t="e">
        <f t="shared" si="54"/>
        <v>#VALUE!</v>
      </c>
      <c r="AN37" t="e">
        <f t="shared" si="55"/>
        <v>#VALUE!</v>
      </c>
      <c r="AO37" s="15" t="e">
        <f t="shared" si="56"/>
        <v>#VALUE!</v>
      </c>
      <c r="AP37" t="e">
        <f t="shared" si="57"/>
        <v>#VALUE!</v>
      </c>
      <c r="AQ37" t="e">
        <f t="shared" si="58"/>
        <v>#VALUE!</v>
      </c>
      <c r="AR37" t="e">
        <f t="shared" si="59"/>
        <v>#VALUE!</v>
      </c>
      <c r="AS37" t="e">
        <f t="shared" si="60"/>
        <v>#VALUE!</v>
      </c>
      <c r="AT37" s="15" t="e">
        <f t="shared" si="61"/>
        <v>#VALUE!</v>
      </c>
      <c r="AU37" t="e">
        <f t="shared" si="62"/>
        <v>#VALUE!</v>
      </c>
      <c r="AW37" t="e">
        <f t="shared" si="2"/>
        <v>#VALUE!</v>
      </c>
      <c r="AX37" s="15" t="e">
        <f t="shared" si="3"/>
        <v>#VALUE!</v>
      </c>
      <c r="AY37" s="15"/>
    </row>
    <row r="38" spans="1:51" ht="12.75">
      <c r="A38" s="1" t="s">
        <v>27</v>
      </c>
      <c r="B38" s="1" t="s">
        <v>123</v>
      </c>
      <c r="C38" s="144">
        <v>0.008202371390403253</v>
      </c>
      <c r="D38" s="163">
        <v>2.7591543292932683</v>
      </c>
      <c r="E38" s="5">
        <f>F38*$D38</f>
        <v>29.131191706061077</v>
      </c>
      <c r="F38" s="5">
        <v>10.558014604975996</v>
      </c>
      <c r="G38" s="6">
        <f>H38*$D38</f>
        <v>0.9680285924738259</v>
      </c>
      <c r="H38" s="226">
        <v>0.35084249626652</v>
      </c>
      <c r="I38" s="226">
        <v>0.35084249626652</v>
      </c>
      <c r="J38" s="13">
        <f t="shared" si="35"/>
        <v>0</v>
      </c>
      <c r="K38" s="148">
        <v>0.008202371390403253</v>
      </c>
      <c r="L38" s="133">
        <v>0.01277815629556402</v>
      </c>
      <c r="M38" s="133">
        <v>78.2585513018927</v>
      </c>
      <c r="N38" s="133">
        <v>0.0027701778809955577</v>
      </c>
      <c r="O38" s="15" t="e">
        <f t="shared" si="65"/>
        <v>#VALUE!</v>
      </c>
      <c r="P38" s="15" t="e">
        <f t="shared" si="66"/>
        <v>#VALUE!</v>
      </c>
      <c r="Q38" s="5">
        <v>2.7591543292932683</v>
      </c>
      <c r="R38" s="15" t="e">
        <f t="shared" si="67"/>
        <v>#VALUE!</v>
      </c>
      <c r="S38" s="15" t="e">
        <f t="shared" si="68"/>
        <v>#VALUE!</v>
      </c>
      <c r="T38" s="15" t="e">
        <f t="shared" si="36"/>
        <v>#VALUE!</v>
      </c>
      <c r="U38" s="15" t="e">
        <f t="shared" si="37"/>
        <v>#VALUE!</v>
      </c>
      <c r="V38" s="15" t="e">
        <f t="shared" si="1"/>
        <v>#VALUE!</v>
      </c>
      <c r="W38" s="16" t="e">
        <f t="shared" si="38"/>
        <v>#VALUE!</v>
      </c>
      <c r="X38" t="e">
        <f t="shared" si="39"/>
        <v>#VALUE!</v>
      </c>
      <c r="Y38" t="e">
        <f t="shared" si="40"/>
        <v>#VALUE!</v>
      </c>
      <c r="Z38" t="e">
        <f t="shared" si="41"/>
        <v>#VALUE!</v>
      </c>
      <c r="AA38" t="e">
        <f t="shared" si="42"/>
        <v>#VALUE!</v>
      </c>
      <c r="AB38" t="e">
        <f t="shared" si="43"/>
        <v>#VALUE!</v>
      </c>
      <c r="AC38" t="e">
        <f t="shared" si="44"/>
        <v>#VALUE!</v>
      </c>
      <c r="AD38" t="e">
        <f t="shared" si="45"/>
        <v>#VALUE!</v>
      </c>
      <c r="AE38" s="15" t="e">
        <f t="shared" si="46"/>
        <v>#VALUE!</v>
      </c>
      <c r="AF38" t="e">
        <f t="shared" si="47"/>
        <v>#VALUE!</v>
      </c>
      <c r="AG38" t="e">
        <f t="shared" si="48"/>
        <v>#VALUE!</v>
      </c>
      <c r="AH38" t="e">
        <f t="shared" si="49"/>
        <v>#VALUE!</v>
      </c>
      <c r="AI38" t="e">
        <f t="shared" si="50"/>
        <v>#VALUE!</v>
      </c>
      <c r="AJ38" s="15" t="e">
        <f t="shared" si="51"/>
        <v>#VALUE!</v>
      </c>
      <c r="AK38" t="e">
        <f t="shared" si="52"/>
        <v>#VALUE!</v>
      </c>
      <c r="AL38" t="e">
        <f t="shared" si="53"/>
        <v>#VALUE!</v>
      </c>
      <c r="AM38" t="e">
        <f t="shared" si="54"/>
        <v>#VALUE!</v>
      </c>
      <c r="AN38" t="e">
        <f t="shared" si="55"/>
        <v>#VALUE!</v>
      </c>
      <c r="AO38" s="15" t="e">
        <f t="shared" si="56"/>
        <v>#VALUE!</v>
      </c>
      <c r="AP38" t="e">
        <f t="shared" si="57"/>
        <v>#VALUE!</v>
      </c>
      <c r="AQ38" t="e">
        <f t="shared" si="58"/>
        <v>#VALUE!</v>
      </c>
      <c r="AR38" t="e">
        <f t="shared" si="59"/>
        <v>#VALUE!</v>
      </c>
      <c r="AS38" t="e">
        <f t="shared" si="60"/>
        <v>#VALUE!</v>
      </c>
      <c r="AT38" s="15" t="e">
        <f t="shared" si="61"/>
        <v>#VALUE!</v>
      </c>
      <c r="AU38" t="e">
        <f t="shared" si="62"/>
        <v>#VALUE!</v>
      </c>
      <c r="AW38" t="e">
        <f t="shared" si="2"/>
        <v>#VALUE!</v>
      </c>
      <c r="AX38" s="15" t="e">
        <f t="shared" si="3"/>
        <v>#VALUE!</v>
      </c>
      <c r="AY38" s="15"/>
    </row>
    <row r="39" spans="1:51" ht="12.75">
      <c r="A39" s="1" t="s">
        <v>28</v>
      </c>
      <c r="B39" s="3"/>
      <c r="C39" s="144">
        <f>SUM(C40:C42)</f>
        <v>0.00553796448589698</v>
      </c>
      <c r="D39" s="163"/>
      <c r="E39" s="5">
        <f>SUM(E40:E42)</f>
        <v>95.41086280911918</v>
      </c>
      <c r="F39" s="3"/>
      <c r="G39" s="6">
        <f>SUM(G40:G42)</f>
        <v>4549.032390574959</v>
      </c>
      <c r="H39" s="226"/>
      <c r="I39" s="226"/>
      <c r="J39" s="13">
        <f t="shared" si="35"/>
        <v>0</v>
      </c>
      <c r="K39" s="148"/>
      <c r="L39" s="133"/>
      <c r="M39" s="133"/>
      <c r="N39" s="133"/>
      <c r="P39" s="15"/>
      <c r="Q39" s="5"/>
      <c r="T39" s="15">
        <f t="shared" si="36"/>
        <v>0</v>
      </c>
      <c r="U39" s="15">
        <f t="shared" si="37"/>
        <v>0</v>
      </c>
      <c r="V39" s="15" t="e">
        <f t="shared" si="1"/>
        <v>#VALUE!</v>
      </c>
      <c r="W39" s="16">
        <f t="shared" si="38"/>
        <v>0</v>
      </c>
      <c r="X39">
        <f t="shared" si="39"/>
        <v>0</v>
      </c>
      <c r="Y39">
        <f t="shared" si="40"/>
        <v>0</v>
      </c>
      <c r="Z39">
        <f t="shared" si="41"/>
        <v>0</v>
      </c>
      <c r="AA39" t="e">
        <f t="shared" si="42"/>
        <v>#VALUE!</v>
      </c>
      <c r="AB39">
        <f t="shared" si="43"/>
        <v>0</v>
      </c>
      <c r="AC39">
        <f t="shared" si="44"/>
        <v>0</v>
      </c>
      <c r="AD39">
        <f t="shared" si="45"/>
        <v>0</v>
      </c>
      <c r="AE39" s="15">
        <f t="shared" si="46"/>
        <v>0</v>
      </c>
      <c r="AF39" t="e">
        <f t="shared" si="47"/>
        <v>#VALUE!</v>
      </c>
      <c r="AG39">
        <f t="shared" si="48"/>
        <v>0</v>
      </c>
      <c r="AH39">
        <f t="shared" si="49"/>
        <v>0</v>
      </c>
      <c r="AI39">
        <f t="shared" si="50"/>
        <v>0</v>
      </c>
      <c r="AJ39" s="15">
        <f t="shared" si="51"/>
        <v>0</v>
      </c>
      <c r="AK39" t="e">
        <f t="shared" si="52"/>
        <v>#VALUE!</v>
      </c>
      <c r="AL39">
        <f t="shared" si="53"/>
        <v>0</v>
      </c>
      <c r="AM39">
        <f t="shared" si="54"/>
        <v>0</v>
      </c>
      <c r="AN39">
        <f t="shared" si="55"/>
        <v>0</v>
      </c>
      <c r="AO39" s="15">
        <f t="shared" si="56"/>
        <v>0</v>
      </c>
      <c r="AP39" t="e">
        <f t="shared" si="57"/>
        <v>#VALUE!</v>
      </c>
      <c r="AQ39">
        <f t="shared" si="58"/>
        <v>0</v>
      </c>
      <c r="AR39">
        <f t="shared" si="59"/>
        <v>0</v>
      </c>
      <c r="AS39">
        <f t="shared" si="60"/>
        <v>0</v>
      </c>
      <c r="AT39" s="15">
        <f t="shared" si="61"/>
        <v>0</v>
      </c>
      <c r="AU39" t="e">
        <f t="shared" si="62"/>
        <v>#VALUE!</v>
      </c>
      <c r="AW39">
        <f t="shared" si="2"/>
        <v>0</v>
      </c>
      <c r="AX39" s="15" t="e">
        <f t="shared" si="3"/>
        <v>#VALUE!</v>
      </c>
      <c r="AY39" s="15" t="e">
        <f>SUM(AW40:AX42)</f>
        <v>#VALUE!</v>
      </c>
    </row>
    <row r="40" spans="1:51" ht="12.75">
      <c r="A40" s="1" t="s">
        <v>29</v>
      </c>
      <c r="B40" s="1" t="s">
        <v>119</v>
      </c>
      <c r="C40" s="144">
        <v>0.00169603224657335</v>
      </c>
      <c r="D40" s="163">
        <v>0.5705197305780351</v>
      </c>
      <c r="E40" s="5">
        <f>F40*$D40</f>
        <v>37.51679496399515</v>
      </c>
      <c r="F40" s="5">
        <v>65.7589789681492</v>
      </c>
      <c r="G40" s="6">
        <f>H40*$D40</f>
        <v>0.5756260238266379</v>
      </c>
      <c r="H40" s="226">
        <v>1.00895024829979</v>
      </c>
      <c r="I40" s="226">
        <v>1.00895024829979</v>
      </c>
      <c r="J40" s="13">
        <f t="shared" si="35"/>
        <v>0</v>
      </c>
      <c r="K40" s="148">
        <v>0.00169603224657335</v>
      </c>
      <c r="L40" s="133">
        <v>0.0026421828636517485</v>
      </c>
      <c r="M40" s="133">
        <v>378.4749397011472</v>
      </c>
      <c r="N40" s="133">
        <v>0.013397167325864986</v>
      </c>
      <c r="O40" s="15" t="e">
        <f t="shared" si="65"/>
        <v>#VALUE!</v>
      </c>
      <c r="P40" s="15" t="e">
        <f t="shared" si="66"/>
        <v>#VALUE!</v>
      </c>
      <c r="Q40" s="5">
        <v>0.5705197305780351</v>
      </c>
      <c r="R40" s="15" t="e">
        <f t="shared" si="67"/>
        <v>#VALUE!</v>
      </c>
      <c r="S40" s="15" t="e">
        <f t="shared" si="68"/>
        <v>#VALUE!</v>
      </c>
      <c r="T40" s="15" t="e">
        <f t="shared" si="36"/>
        <v>#VALUE!</v>
      </c>
      <c r="U40" s="15" t="e">
        <f t="shared" si="37"/>
        <v>#VALUE!</v>
      </c>
      <c r="V40" s="15" t="e">
        <f t="shared" si="1"/>
        <v>#VALUE!</v>
      </c>
      <c r="W40" s="16" t="e">
        <f t="shared" si="38"/>
        <v>#VALUE!</v>
      </c>
      <c r="X40" t="e">
        <f t="shared" si="39"/>
        <v>#VALUE!</v>
      </c>
      <c r="Y40" t="e">
        <f t="shared" si="40"/>
        <v>#VALUE!</v>
      </c>
      <c r="Z40" t="e">
        <f t="shared" si="41"/>
        <v>#VALUE!</v>
      </c>
      <c r="AA40" t="e">
        <f t="shared" si="42"/>
        <v>#VALUE!</v>
      </c>
      <c r="AB40" t="e">
        <f t="shared" si="43"/>
        <v>#VALUE!</v>
      </c>
      <c r="AC40" t="e">
        <f t="shared" si="44"/>
        <v>#VALUE!</v>
      </c>
      <c r="AD40" t="e">
        <f t="shared" si="45"/>
        <v>#VALUE!</v>
      </c>
      <c r="AE40" s="15" t="e">
        <f t="shared" si="46"/>
        <v>#VALUE!</v>
      </c>
      <c r="AF40" t="e">
        <f t="shared" si="47"/>
        <v>#VALUE!</v>
      </c>
      <c r="AG40" t="e">
        <f t="shared" si="48"/>
        <v>#VALUE!</v>
      </c>
      <c r="AH40" t="e">
        <f t="shared" si="49"/>
        <v>#VALUE!</v>
      </c>
      <c r="AI40" t="e">
        <f t="shared" si="50"/>
        <v>#VALUE!</v>
      </c>
      <c r="AJ40" s="15" t="e">
        <f t="shared" si="51"/>
        <v>#VALUE!</v>
      </c>
      <c r="AK40" t="e">
        <f t="shared" si="52"/>
        <v>#VALUE!</v>
      </c>
      <c r="AL40" t="e">
        <f t="shared" si="53"/>
        <v>#VALUE!</v>
      </c>
      <c r="AM40" t="e">
        <f t="shared" si="54"/>
        <v>#VALUE!</v>
      </c>
      <c r="AN40" t="e">
        <f t="shared" si="55"/>
        <v>#VALUE!</v>
      </c>
      <c r="AO40" s="15" t="e">
        <f t="shared" si="56"/>
        <v>#VALUE!</v>
      </c>
      <c r="AP40" t="e">
        <f t="shared" si="57"/>
        <v>#VALUE!</v>
      </c>
      <c r="AQ40" t="e">
        <f t="shared" si="58"/>
        <v>#VALUE!</v>
      </c>
      <c r="AR40" t="e">
        <f t="shared" si="59"/>
        <v>#VALUE!</v>
      </c>
      <c r="AS40" t="e">
        <f t="shared" si="60"/>
        <v>#VALUE!</v>
      </c>
      <c r="AT40" s="15" t="e">
        <f t="shared" si="61"/>
        <v>#VALUE!</v>
      </c>
      <c r="AU40" t="e">
        <f t="shared" si="62"/>
        <v>#VALUE!</v>
      </c>
      <c r="AW40" t="e">
        <f t="shared" si="2"/>
        <v>#VALUE!</v>
      </c>
      <c r="AX40" s="15" t="e">
        <f t="shared" si="3"/>
        <v>#VALUE!</v>
      </c>
      <c r="AY40" s="15"/>
    </row>
    <row r="41" spans="1:51" ht="12.75">
      <c r="A41" s="1" t="s">
        <v>261</v>
      </c>
      <c r="B41" s="1" t="s">
        <v>119</v>
      </c>
      <c r="C41" s="144">
        <v>0.0008104457494304658</v>
      </c>
      <c r="D41" s="163">
        <v>0.2726217567781287</v>
      </c>
      <c r="E41" s="5">
        <f>F41*$D41</f>
        <v>14.261521373299527</v>
      </c>
      <c r="F41" s="5">
        <v>52.312484307355426</v>
      </c>
      <c r="G41" s="6">
        <f>H41*$D41</f>
        <v>4546.513037788853</v>
      </c>
      <c r="H41" s="227" t="s">
        <v>361</v>
      </c>
      <c r="I41" s="227" t="s">
        <v>361</v>
      </c>
      <c r="J41" s="13">
        <f t="shared" si="35"/>
        <v>0</v>
      </c>
      <c r="K41" s="148">
        <v>0.0008104457494304658</v>
      </c>
      <c r="L41" s="133">
        <v>0.0012625620033999553</v>
      </c>
      <c r="M41" s="133">
        <v>792.0403095508168</v>
      </c>
      <c r="N41" s="133">
        <v>0.028036457484506016</v>
      </c>
      <c r="O41" s="15" t="e">
        <f t="shared" si="65"/>
        <v>#VALUE!</v>
      </c>
      <c r="P41" s="15" t="e">
        <f t="shared" si="66"/>
        <v>#VALUE!</v>
      </c>
      <c r="Q41" s="5">
        <v>0.2726217567781287</v>
      </c>
      <c r="R41" s="15" t="e">
        <f t="shared" si="67"/>
        <v>#VALUE!</v>
      </c>
      <c r="S41" s="15" t="e">
        <f t="shared" si="68"/>
        <v>#VALUE!</v>
      </c>
      <c r="T41" s="15" t="e">
        <f t="shared" si="36"/>
        <v>#VALUE!</v>
      </c>
      <c r="U41" s="15" t="e">
        <f t="shared" si="37"/>
        <v>#VALUE!</v>
      </c>
      <c r="V41" s="15" t="e">
        <f t="shared" si="1"/>
        <v>#VALUE!</v>
      </c>
      <c r="W41" s="16" t="e">
        <f t="shared" si="38"/>
        <v>#VALUE!</v>
      </c>
      <c r="X41" t="e">
        <f t="shared" si="39"/>
        <v>#VALUE!</v>
      </c>
      <c r="Y41" t="e">
        <f t="shared" si="40"/>
        <v>#VALUE!</v>
      </c>
      <c r="Z41" t="e">
        <f t="shared" si="41"/>
        <v>#VALUE!</v>
      </c>
      <c r="AA41" t="e">
        <f t="shared" si="42"/>
        <v>#VALUE!</v>
      </c>
      <c r="AB41" t="e">
        <f t="shared" si="43"/>
        <v>#VALUE!</v>
      </c>
      <c r="AC41" t="e">
        <f t="shared" si="44"/>
        <v>#VALUE!</v>
      </c>
      <c r="AD41" t="e">
        <f t="shared" si="45"/>
        <v>#VALUE!</v>
      </c>
      <c r="AE41" s="15" t="e">
        <f t="shared" si="46"/>
        <v>#VALUE!</v>
      </c>
      <c r="AF41" t="e">
        <f t="shared" si="47"/>
        <v>#VALUE!</v>
      </c>
      <c r="AG41" t="e">
        <f t="shared" si="48"/>
        <v>#VALUE!</v>
      </c>
      <c r="AH41" t="e">
        <f t="shared" si="49"/>
        <v>#VALUE!</v>
      </c>
      <c r="AI41" t="e">
        <f t="shared" si="50"/>
        <v>#VALUE!</v>
      </c>
      <c r="AJ41" s="15" t="e">
        <f t="shared" si="51"/>
        <v>#VALUE!</v>
      </c>
      <c r="AK41" t="e">
        <f t="shared" si="52"/>
        <v>#VALUE!</v>
      </c>
      <c r="AL41" t="e">
        <f t="shared" si="53"/>
        <v>#VALUE!</v>
      </c>
      <c r="AM41" t="e">
        <f t="shared" si="54"/>
        <v>#VALUE!</v>
      </c>
      <c r="AN41" t="e">
        <f t="shared" si="55"/>
        <v>#VALUE!</v>
      </c>
      <c r="AO41" s="15" t="e">
        <f t="shared" si="56"/>
        <v>#VALUE!</v>
      </c>
      <c r="AP41" t="e">
        <f t="shared" si="57"/>
        <v>#VALUE!</v>
      </c>
      <c r="AQ41" t="e">
        <f t="shared" si="58"/>
        <v>#VALUE!</v>
      </c>
      <c r="AR41" t="e">
        <f t="shared" si="59"/>
        <v>#VALUE!</v>
      </c>
      <c r="AS41" t="e">
        <f t="shared" si="60"/>
        <v>#VALUE!</v>
      </c>
      <c r="AT41" s="15" t="e">
        <f t="shared" si="61"/>
        <v>#VALUE!</v>
      </c>
      <c r="AU41" t="e">
        <f t="shared" si="62"/>
        <v>#VALUE!</v>
      </c>
      <c r="AW41" t="e">
        <f t="shared" si="2"/>
        <v>#VALUE!</v>
      </c>
      <c r="AX41" s="15" t="e">
        <f t="shared" si="3"/>
        <v>#VALUE!</v>
      </c>
      <c r="AY41" s="15"/>
    </row>
    <row r="42" spans="1:51" ht="12.75">
      <c r="A42" s="1" t="s">
        <v>267</v>
      </c>
      <c r="B42" s="1" t="s">
        <v>123</v>
      </c>
      <c r="C42" s="144">
        <v>0.0030314864898931646</v>
      </c>
      <c r="D42" s="163">
        <v>1.0197464458350456</v>
      </c>
      <c r="E42" s="5">
        <f>F42*$D42</f>
        <v>43.63254647182449</v>
      </c>
      <c r="F42" s="5">
        <v>42.78764260472108</v>
      </c>
      <c r="G42" s="6">
        <f>H42*$D42</f>
        <v>1.943726762279989</v>
      </c>
      <c r="H42" s="226">
        <v>1.90608829304457</v>
      </c>
      <c r="I42" s="226">
        <v>1.90608829304457</v>
      </c>
      <c r="J42" s="13">
        <f t="shared" si="35"/>
        <v>0</v>
      </c>
      <c r="K42" s="148">
        <v>0.0030314864898931646</v>
      </c>
      <c r="L42" s="133">
        <v>0.0047226352394951964</v>
      </c>
      <c r="M42" s="133">
        <v>211.7461860355089</v>
      </c>
      <c r="N42" s="133">
        <v>0.007495341929828835</v>
      </c>
      <c r="O42" s="15" t="e">
        <f t="shared" si="65"/>
        <v>#VALUE!</v>
      </c>
      <c r="P42" s="15" t="e">
        <f t="shared" si="66"/>
        <v>#VALUE!</v>
      </c>
      <c r="Q42" s="5">
        <v>1.0197464458350456</v>
      </c>
      <c r="R42" s="15" t="e">
        <f t="shared" si="67"/>
        <v>#VALUE!</v>
      </c>
      <c r="S42" s="15" t="e">
        <f t="shared" si="68"/>
        <v>#VALUE!</v>
      </c>
      <c r="T42" s="15" t="e">
        <f t="shared" si="36"/>
        <v>#VALUE!</v>
      </c>
      <c r="U42" s="15" t="e">
        <f t="shared" si="37"/>
        <v>#VALUE!</v>
      </c>
      <c r="V42" s="15" t="e">
        <f t="shared" si="1"/>
        <v>#VALUE!</v>
      </c>
      <c r="W42" s="16" t="e">
        <f t="shared" si="38"/>
        <v>#VALUE!</v>
      </c>
      <c r="X42" t="e">
        <f t="shared" si="39"/>
        <v>#VALUE!</v>
      </c>
      <c r="Y42" t="e">
        <f t="shared" si="40"/>
        <v>#VALUE!</v>
      </c>
      <c r="Z42" t="e">
        <f t="shared" si="41"/>
        <v>#VALUE!</v>
      </c>
      <c r="AA42" t="e">
        <f t="shared" si="42"/>
        <v>#VALUE!</v>
      </c>
      <c r="AB42" t="e">
        <f t="shared" si="43"/>
        <v>#VALUE!</v>
      </c>
      <c r="AC42" t="e">
        <f t="shared" si="44"/>
        <v>#VALUE!</v>
      </c>
      <c r="AD42" t="e">
        <f t="shared" si="45"/>
        <v>#VALUE!</v>
      </c>
      <c r="AE42" s="15" t="e">
        <f t="shared" si="46"/>
        <v>#VALUE!</v>
      </c>
      <c r="AF42" t="e">
        <f t="shared" si="47"/>
        <v>#VALUE!</v>
      </c>
      <c r="AG42" t="e">
        <f t="shared" si="48"/>
        <v>#VALUE!</v>
      </c>
      <c r="AH42" t="e">
        <f t="shared" si="49"/>
        <v>#VALUE!</v>
      </c>
      <c r="AI42" t="e">
        <f t="shared" si="50"/>
        <v>#VALUE!</v>
      </c>
      <c r="AJ42" s="15" t="e">
        <f t="shared" si="51"/>
        <v>#VALUE!</v>
      </c>
      <c r="AK42" t="e">
        <f t="shared" si="52"/>
        <v>#VALUE!</v>
      </c>
      <c r="AL42" t="e">
        <f t="shared" si="53"/>
        <v>#VALUE!</v>
      </c>
      <c r="AM42" t="e">
        <f t="shared" si="54"/>
        <v>#VALUE!</v>
      </c>
      <c r="AN42" t="e">
        <f t="shared" si="55"/>
        <v>#VALUE!</v>
      </c>
      <c r="AO42" s="15" t="e">
        <f t="shared" si="56"/>
        <v>#VALUE!</v>
      </c>
      <c r="AP42" t="e">
        <f t="shared" si="57"/>
        <v>#VALUE!</v>
      </c>
      <c r="AQ42" t="e">
        <f t="shared" si="58"/>
        <v>#VALUE!</v>
      </c>
      <c r="AR42" t="e">
        <f t="shared" si="59"/>
        <v>#VALUE!</v>
      </c>
      <c r="AS42" t="e">
        <f t="shared" si="60"/>
        <v>#VALUE!</v>
      </c>
      <c r="AT42" s="15" t="e">
        <f t="shared" si="61"/>
        <v>#VALUE!</v>
      </c>
      <c r="AU42" t="e">
        <f t="shared" si="62"/>
        <v>#VALUE!</v>
      </c>
      <c r="AW42" t="e">
        <f t="shared" si="2"/>
        <v>#VALUE!</v>
      </c>
      <c r="AX42" s="15" t="e">
        <f t="shared" si="3"/>
        <v>#VALUE!</v>
      </c>
      <c r="AY42" s="15"/>
    </row>
    <row r="43" spans="1:51" ht="12.75">
      <c r="A43" s="1" t="s">
        <v>30</v>
      </c>
      <c r="B43" s="3"/>
      <c r="C43" s="144">
        <f>SUM(C44:C49)</f>
        <v>0.05675958519595507</v>
      </c>
      <c r="D43" s="163"/>
      <c r="E43" s="5">
        <f>SUM(E44:E49)</f>
        <v>174.56444780050714</v>
      </c>
      <c r="F43" s="3"/>
      <c r="G43" s="6">
        <f>SUM(G44:G49)</f>
        <v>7.338556158811411</v>
      </c>
      <c r="H43" s="226"/>
      <c r="I43" s="226"/>
      <c r="J43" s="13">
        <f t="shared" si="35"/>
        <v>0</v>
      </c>
      <c r="K43" s="148"/>
      <c r="L43" s="133"/>
      <c r="M43" s="133"/>
      <c r="N43" s="133"/>
      <c r="P43" s="15"/>
      <c r="Q43" s="5"/>
      <c r="T43" s="15">
        <f t="shared" si="36"/>
        <v>0</v>
      </c>
      <c r="U43" s="15">
        <f t="shared" si="37"/>
        <v>0</v>
      </c>
      <c r="V43" s="15" t="e">
        <f aca="true" t="shared" si="69" ref="V43:V74">$V$7/$U$7*U43</f>
        <v>#VALUE!</v>
      </c>
      <c r="W43" s="16">
        <f t="shared" si="38"/>
        <v>0</v>
      </c>
      <c r="X43">
        <f t="shared" si="39"/>
        <v>0</v>
      </c>
      <c r="Y43">
        <f t="shared" si="40"/>
        <v>0</v>
      </c>
      <c r="Z43">
        <f t="shared" si="41"/>
        <v>0</v>
      </c>
      <c r="AA43" t="e">
        <f t="shared" si="42"/>
        <v>#VALUE!</v>
      </c>
      <c r="AB43">
        <f t="shared" si="43"/>
        <v>0</v>
      </c>
      <c r="AC43">
        <f t="shared" si="44"/>
        <v>0</v>
      </c>
      <c r="AD43">
        <f t="shared" si="45"/>
        <v>0</v>
      </c>
      <c r="AE43" s="15">
        <f t="shared" si="46"/>
        <v>0</v>
      </c>
      <c r="AF43" t="e">
        <f t="shared" si="47"/>
        <v>#VALUE!</v>
      </c>
      <c r="AG43">
        <f t="shared" si="48"/>
        <v>0</v>
      </c>
      <c r="AH43">
        <f t="shared" si="49"/>
        <v>0</v>
      </c>
      <c r="AI43">
        <f t="shared" si="50"/>
        <v>0</v>
      </c>
      <c r="AJ43" s="15">
        <f t="shared" si="51"/>
        <v>0</v>
      </c>
      <c r="AK43" t="e">
        <f t="shared" si="52"/>
        <v>#VALUE!</v>
      </c>
      <c r="AL43">
        <f t="shared" si="53"/>
        <v>0</v>
      </c>
      <c r="AM43">
        <f t="shared" si="54"/>
        <v>0</v>
      </c>
      <c r="AN43">
        <f t="shared" si="55"/>
        <v>0</v>
      </c>
      <c r="AO43" s="15">
        <f t="shared" si="56"/>
        <v>0</v>
      </c>
      <c r="AP43" t="e">
        <f t="shared" si="57"/>
        <v>#VALUE!</v>
      </c>
      <c r="AQ43">
        <f t="shared" si="58"/>
        <v>0</v>
      </c>
      <c r="AR43">
        <f t="shared" si="59"/>
        <v>0</v>
      </c>
      <c r="AS43">
        <f t="shared" si="60"/>
        <v>0</v>
      </c>
      <c r="AT43" s="15">
        <f t="shared" si="61"/>
        <v>0</v>
      </c>
      <c r="AU43" t="e">
        <f t="shared" si="62"/>
        <v>#VALUE!</v>
      </c>
      <c r="AW43">
        <f aca="true" t="shared" si="70" ref="AW43:AW74">AS43</f>
        <v>0</v>
      </c>
      <c r="AX43" s="15" t="e">
        <f aca="true" t="shared" si="71" ref="AX43:AX74">AU43</f>
        <v>#VALUE!</v>
      </c>
      <c r="AY43" s="15" t="e">
        <f>SUM(AW44:AX49)</f>
        <v>#VALUE!</v>
      </c>
    </row>
    <row r="44" spans="1:51" ht="12.75">
      <c r="A44" s="1" t="s">
        <v>31</v>
      </c>
      <c r="B44" s="1" t="s">
        <v>119</v>
      </c>
      <c r="C44" s="144">
        <v>0.0011018187211478663</v>
      </c>
      <c r="D44" s="163">
        <v>0.3706352406949532</v>
      </c>
      <c r="E44" s="5">
        <f aca="true" t="shared" si="72" ref="E44:E49">F44*$D44</f>
        <v>11.297865880709956</v>
      </c>
      <c r="F44" s="5">
        <v>30.48243836588795</v>
      </c>
      <c r="G44" s="6">
        <f aca="true" t="shared" si="73" ref="G44:G49">H44*$D44</f>
        <v>0.49969048087124834</v>
      </c>
      <c r="H44" s="226">
        <v>1.34820013319379</v>
      </c>
      <c r="I44" s="226">
        <v>1.34820013319379</v>
      </c>
      <c r="J44" s="13">
        <f aca="true" t="shared" si="74" ref="J44:J59">I44-H44</f>
        <v>0</v>
      </c>
      <c r="K44" s="148">
        <v>0.0011018187211478663</v>
      </c>
      <c r="L44" s="133">
        <v>0.0017164806563963364</v>
      </c>
      <c r="M44" s="133">
        <v>582.5873983919219</v>
      </c>
      <c r="N44" s="133">
        <v>0.020622292361972425</v>
      </c>
      <c r="O44" s="15" t="e">
        <f aca="true" t="shared" si="75" ref="O44:O59">N44*$O$7</f>
        <v>#VALUE!</v>
      </c>
      <c r="P44" s="15" t="e">
        <f aca="true" t="shared" si="76" ref="P44:P59">O44/I44</f>
        <v>#VALUE!</v>
      </c>
      <c r="Q44" s="5">
        <v>0.3706352406949532</v>
      </c>
      <c r="R44" s="15" t="e">
        <f aca="true" t="shared" si="77" ref="R44:R59">IF(P44&lt;Q44,P44*H44,0)</f>
        <v>#VALUE!</v>
      </c>
      <c r="S44" s="15" t="e">
        <f aca="true" t="shared" si="78" ref="S44:S59">IF(P44&lt;Q44,P34:P44,0)</f>
        <v>#VALUE!</v>
      </c>
      <c r="T44" s="15" t="e">
        <f aca="true" t="shared" si="79" ref="T44:T59">IF(S44=0,Q44*I44,0)</f>
        <v>#VALUE!</v>
      </c>
      <c r="U44" s="15" t="e">
        <f aca="true" t="shared" si="80" ref="U44:U59">IF(S44=0,0,S44*I44)</f>
        <v>#VALUE!</v>
      </c>
      <c r="V44" s="15" t="e">
        <f t="shared" si="69"/>
        <v>#VALUE!</v>
      </c>
      <c r="W44" s="16" t="e">
        <f aca="true" t="shared" si="81" ref="W44:W59">IF(I44=0,0,V44/I44)</f>
        <v>#VALUE!</v>
      </c>
      <c r="X44" t="e">
        <f aca="true" t="shared" si="82" ref="X44:X59">IF(W44&lt;Q44,W44,0)</f>
        <v>#VALUE!</v>
      </c>
      <c r="Y44" t="e">
        <f aca="true" t="shared" si="83" ref="Y44:Y59">IF(X44=0,Q44*I44,0)</f>
        <v>#VALUE!</v>
      </c>
      <c r="Z44" t="e">
        <f aca="true" t="shared" si="84" ref="Z44:Z59">IF(X44=0,0,I44*X44)</f>
        <v>#VALUE!</v>
      </c>
      <c r="AA44" t="e">
        <f aca="true" t="shared" si="85" ref="AA44:AA59">$AA$7/$Z$7*Z44</f>
        <v>#VALUE!</v>
      </c>
      <c r="AB44" t="e">
        <f aca="true" t="shared" si="86" ref="AB44:AB59">IF(I44=0,0,AA44/I44)</f>
        <v>#VALUE!</v>
      </c>
      <c r="AC44" t="e">
        <f aca="true" t="shared" si="87" ref="AC44:AC59">IF(AB44&lt;Q44,AB44,0)</f>
        <v>#VALUE!</v>
      </c>
      <c r="AD44" t="e">
        <f aca="true" t="shared" si="88" ref="AD44:AD59">IF(AC44=0,$Q44*$I44,0)</f>
        <v>#VALUE!</v>
      </c>
      <c r="AE44" s="15" t="e">
        <f aca="true" t="shared" si="89" ref="AE44:AE59">IF(AC44=0,0,AC44*$I44)</f>
        <v>#VALUE!</v>
      </c>
      <c r="AF44" t="e">
        <f aca="true" t="shared" si="90" ref="AF44:AF59">$AF$7/$AE$7*AE44</f>
        <v>#VALUE!</v>
      </c>
      <c r="AG44" t="e">
        <f aca="true" t="shared" si="91" ref="AG44:AG59">IF($I44=0,0,AF44/$I44)</f>
        <v>#VALUE!</v>
      </c>
      <c r="AH44" t="e">
        <f aca="true" t="shared" si="92" ref="AH44:AH59">IF(AG44&lt;$Q44,AG44,0)</f>
        <v>#VALUE!</v>
      </c>
      <c r="AI44" t="e">
        <f aca="true" t="shared" si="93" ref="AI44:AI59">IF(AH44=0,$Q44*$I44,0)</f>
        <v>#VALUE!</v>
      </c>
      <c r="AJ44" s="15" t="e">
        <f aca="true" t="shared" si="94" ref="AJ44:AJ59">IF(AH44=0,0,AH44*$I44)</f>
        <v>#VALUE!</v>
      </c>
      <c r="AK44" t="e">
        <f aca="true" t="shared" si="95" ref="AK44:AK59">$AK$7/$AJ$7*AJ44</f>
        <v>#VALUE!</v>
      </c>
      <c r="AL44" t="e">
        <f aca="true" t="shared" si="96" ref="AL44:AL59">IF($I44=0,0,AK44/$I44)</f>
        <v>#VALUE!</v>
      </c>
      <c r="AM44" t="e">
        <f aca="true" t="shared" si="97" ref="AM44:AM59">IF(AL44&lt;$Q44,AL44,0)</f>
        <v>#VALUE!</v>
      </c>
      <c r="AN44" t="e">
        <f aca="true" t="shared" si="98" ref="AN44:AN59">IF(AM44=0,$Q44*$I44,0)</f>
        <v>#VALUE!</v>
      </c>
      <c r="AO44" s="15" t="e">
        <f aca="true" t="shared" si="99" ref="AO44:AO59">IF(AM44=0,0,AM44*$I44)</f>
        <v>#VALUE!</v>
      </c>
      <c r="AP44" t="e">
        <f aca="true" t="shared" si="100" ref="AP44:AP59">$AP$7/$AO$7*AO44</f>
        <v>#VALUE!</v>
      </c>
      <c r="AQ44" t="e">
        <f aca="true" t="shared" si="101" ref="AQ44:AQ59">IF($I44=0,0,AP44/$I44)</f>
        <v>#VALUE!</v>
      </c>
      <c r="AR44" t="e">
        <f aca="true" t="shared" si="102" ref="AR44:AR59">IF(AQ44&lt;$Q44,AQ44,0)</f>
        <v>#VALUE!</v>
      </c>
      <c r="AS44" t="e">
        <f aca="true" t="shared" si="103" ref="AS44:AS59">IF(AR44=0,$Q44*$I44,0)</f>
        <v>#VALUE!</v>
      </c>
      <c r="AT44" s="15" t="e">
        <f aca="true" t="shared" si="104" ref="AT44:AT59">IF(AR44=0,0,AR44*$I44)</f>
        <v>#VALUE!</v>
      </c>
      <c r="AU44" t="e">
        <f aca="true" t="shared" si="105" ref="AU44:AU59">$AU$7/$AT$7*AT44</f>
        <v>#VALUE!</v>
      </c>
      <c r="AW44" t="e">
        <f t="shared" si="70"/>
        <v>#VALUE!</v>
      </c>
      <c r="AX44" s="15" t="e">
        <f t="shared" si="71"/>
        <v>#VALUE!</v>
      </c>
      <c r="AY44" s="15"/>
    </row>
    <row r="45" spans="1:51" ht="12.75">
      <c r="A45" s="1" t="s">
        <v>228</v>
      </c>
      <c r="B45" s="1" t="s">
        <v>119</v>
      </c>
      <c r="C45" s="144">
        <v>0.0011729425437029888</v>
      </c>
      <c r="D45" s="163">
        <v>0.3945602245293178</v>
      </c>
      <c r="E45" s="5">
        <f t="shared" si="72"/>
        <v>16.891123212100098</v>
      </c>
      <c r="F45" s="5">
        <v>42.81</v>
      </c>
      <c r="G45" s="6">
        <f t="shared" si="73"/>
        <v>0.30464144385266706</v>
      </c>
      <c r="H45" s="226">
        <v>0.77210378774516</v>
      </c>
      <c r="I45" s="226">
        <v>0.77210378774516</v>
      </c>
      <c r="J45" s="13">
        <f t="shared" si="74"/>
        <v>0</v>
      </c>
      <c r="K45" s="148">
        <v>0.0011729425437029888</v>
      </c>
      <c r="L45" s="133">
        <v>0.001827281701324715</v>
      </c>
      <c r="M45" s="133">
        <v>547.2609938987706</v>
      </c>
      <c r="N45" s="133">
        <v>0.019371816564579755</v>
      </c>
      <c r="O45" s="15" t="e">
        <f t="shared" si="75"/>
        <v>#VALUE!</v>
      </c>
      <c r="P45" s="15" t="e">
        <f t="shared" si="76"/>
        <v>#VALUE!</v>
      </c>
      <c r="Q45" s="5">
        <v>0.3945602245293178</v>
      </c>
      <c r="R45" s="15" t="e">
        <f t="shared" si="77"/>
        <v>#VALUE!</v>
      </c>
      <c r="S45" s="15" t="e">
        <f t="shared" si="78"/>
        <v>#VALUE!</v>
      </c>
      <c r="T45" s="15" t="e">
        <f t="shared" si="79"/>
        <v>#VALUE!</v>
      </c>
      <c r="U45" s="15" t="e">
        <f t="shared" si="80"/>
        <v>#VALUE!</v>
      </c>
      <c r="V45" s="15" t="e">
        <f t="shared" si="69"/>
        <v>#VALUE!</v>
      </c>
      <c r="W45" s="16" t="e">
        <f t="shared" si="81"/>
        <v>#VALUE!</v>
      </c>
      <c r="X45" t="e">
        <f t="shared" si="82"/>
        <v>#VALUE!</v>
      </c>
      <c r="Y45" t="e">
        <f t="shared" si="83"/>
        <v>#VALUE!</v>
      </c>
      <c r="Z45" t="e">
        <f t="shared" si="84"/>
        <v>#VALUE!</v>
      </c>
      <c r="AA45" t="e">
        <f t="shared" si="85"/>
        <v>#VALUE!</v>
      </c>
      <c r="AB45" t="e">
        <f t="shared" si="86"/>
        <v>#VALUE!</v>
      </c>
      <c r="AC45" t="e">
        <f t="shared" si="87"/>
        <v>#VALUE!</v>
      </c>
      <c r="AD45" t="e">
        <f t="shared" si="88"/>
        <v>#VALUE!</v>
      </c>
      <c r="AE45" s="15" t="e">
        <f t="shared" si="89"/>
        <v>#VALUE!</v>
      </c>
      <c r="AF45" t="e">
        <f t="shared" si="90"/>
        <v>#VALUE!</v>
      </c>
      <c r="AG45" t="e">
        <f t="shared" si="91"/>
        <v>#VALUE!</v>
      </c>
      <c r="AH45" t="e">
        <f t="shared" si="92"/>
        <v>#VALUE!</v>
      </c>
      <c r="AI45" t="e">
        <f t="shared" si="93"/>
        <v>#VALUE!</v>
      </c>
      <c r="AJ45" s="15" t="e">
        <f t="shared" si="94"/>
        <v>#VALUE!</v>
      </c>
      <c r="AK45" t="e">
        <f t="shared" si="95"/>
        <v>#VALUE!</v>
      </c>
      <c r="AL45" t="e">
        <f t="shared" si="96"/>
        <v>#VALUE!</v>
      </c>
      <c r="AM45" t="e">
        <f t="shared" si="97"/>
        <v>#VALUE!</v>
      </c>
      <c r="AN45" t="e">
        <f t="shared" si="98"/>
        <v>#VALUE!</v>
      </c>
      <c r="AO45" s="15" t="e">
        <f t="shared" si="99"/>
        <v>#VALUE!</v>
      </c>
      <c r="AP45" t="e">
        <f t="shared" si="100"/>
        <v>#VALUE!</v>
      </c>
      <c r="AQ45" t="e">
        <f t="shared" si="101"/>
        <v>#VALUE!</v>
      </c>
      <c r="AR45" t="e">
        <f t="shared" si="102"/>
        <v>#VALUE!</v>
      </c>
      <c r="AS45" t="e">
        <f t="shared" si="103"/>
        <v>#VALUE!</v>
      </c>
      <c r="AT45" s="15" t="e">
        <f t="shared" si="104"/>
        <v>#VALUE!</v>
      </c>
      <c r="AU45" t="e">
        <f t="shared" si="105"/>
        <v>#VALUE!</v>
      </c>
      <c r="AW45" t="e">
        <f t="shared" si="70"/>
        <v>#VALUE!</v>
      </c>
      <c r="AX45" s="15" t="e">
        <f t="shared" si="71"/>
        <v>#VALUE!</v>
      </c>
      <c r="AY45" s="15"/>
    </row>
    <row r="46" spans="1:51" ht="12.75">
      <c r="A46" s="1" t="s">
        <v>32</v>
      </c>
      <c r="B46" s="1" t="s">
        <v>119</v>
      </c>
      <c r="C46" s="144">
        <v>0.016739015135650372</v>
      </c>
      <c r="D46" s="163">
        <v>5.630752849556676</v>
      </c>
      <c r="E46" s="5">
        <f t="shared" si="72"/>
        <v>38.98149175368538</v>
      </c>
      <c r="F46" s="5">
        <v>6.922962665064317</v>
      </c>
      <c r="G46" s="6">
        <f t="shared" si="73"/>
        <v>2.0873213213592083</v>
      </c>
      <c r="H46" s="226">
        <v>0.37070022022429</v>
      </c>
      <c r="I46" s="226">
        <v>0.37070022022429</v>
      </c>
      <c r="J46" s="13">
        <f t="shared" si="74"/>
        <v>0</v>
      </c>
      <c r="K46" s="148">
        <v>0.016739015135650372</v>
      </c>
      <c r="L46" s="133">
        <v>0.026077062529429866</v>
      </c>
      <c r="M46" s="133">
        <v>38.34787752153553</v>
      </c>
      <c r="N46" s="133">
        <v>0.0013574291924148521</v>
      </c>
      <c r="O46" s="15" t="e">
        <f t="shared" si="75"/>
        <v>#VALUE!</v>
      </c>
      <c r="P46" s="15" t="e">
        <f t="shared" si="76"/>
        <v>#VALUE!</v>
      </c>
      <c r="Q46" s="5">
        <v>5.630752849556676</v>
      </c>
      <c r="R46" s="15" t="e">
        <f t="shared" si="77"/>
        <v>#VALUE!</v>
      </c>
      <c r="S46" s="15" t="e">
        <f t="shared" si="78"/>
        <v>#VALUE!</v>
      </c>
      <c r="T46" s="15" t="e">
        <f t="shared" si="79"/>
        <v>#VALUE!</v>
      </c>
      <c r="U46" s="15" t="e">
        <f t="shared" si="80"/>
        <v>#VALUE!</v>
      </c>
      <c r="V46" s="15" t="e">
        <f t="shared" si="69"/>
        <v>#VALUE!</v>
      </c>
      <c r="W46" s="16" t="e">
        <f t="shared" si="81"/>
        <v>#VALUE!</v>
      </c>
      <c r="X46" t="e">
        <f t="shared" si="82"/>
        <v>#VALUE!</v>
      </c>
      <c r="Y46" t="e">
        <f t="shared" si="83"/>
        <v>#VALUE!</v>
      </c>
      <c r="Z46" t="e">
        <f t="shared" si="84"/>
        <v>#VALUE!</v>
      </c>
      <c r="AA46" t="e">
        <f t="shared" si="85"/>
        <v>#VALUE!</v>
      </c>
      <c r="AB46" t="e">
        <f t="shared" si="86"/>
        <v>#VALUE!</v>
      </c>
      <c r="AC46" t="e">
        <f t="shared" si="87"/>
        <v>#VALUE!</v>
      </c>
      <c r="AD46" t="e">
        <f t="shared" si="88"/>
        <v>#VALUE!</v>
      </c>
      <c r="AE46" s="15" t="e">
        <f t="shared" si="89"/>
        <v>#VALUE!</v>
      </c>
      <c r="AF46" t="e">
        <f t="shared" si="90"/>
        <v>#VALUE!</v>
      </c>
      <c r="AG46" t="e">
        <f t="shared" si="91"/>
        <v>#VALUE!</v>
      </c>
      <c r="AH46" t="e">
        <f t="shared" si="92"/>
        <v>#VALUE!</v>
      </c>
      <c r="AI46" t="e">
        <f t="shared" si="93"/>
        <v>#VALUE!</v>
      </c>
      <c r="AJ46" s="15" t="e">
        <f t="shared" si="94"/>
        <v>#VALUE!</v>
      </c>
      <c r="AK46" t="e">
        <f t="shared" si="95"/>
        <v>#VALUE!</v>
      </c>
      <c r="AL46" t="e">
        <f t="shared" si="96"/>
        <v>#VALUE!</v>
      </c>
      <c r="AM46" t="e">
        <f t="shared" si="97"/>
        <v>#VALUE!</v>
      </c>
      <c r="AN46" t="e">
        <f t="shared" si="98"/>
        <v>#VALUE!</v>
      </c>
      <c r="AO46" s="15" t="e">
        <f t="shared" si="99"/>
        <v>#VALUE!</v>
      </c>
      <c r="AP46" t="e">
        <f t="shared" si="100"/>
        <v>#VALUE!</v>
      </c>
      <c r="AQ46" t="e">
        <f t="shared" si="101"/>
        <v>#VALUE!</v>
      </c>
      <c r="AR46" t="e">
        <f t="shared" si="102"/>
        <v>#VALUE!</v>
      </c>
      <c r="AS46" t="e">
        <f t="shared" si="103"/>
        <v>#VALUE!</v>
      </c>
      <c r="AT46" s="15" t="e">
        <f t="shared" si="104"/>
        <v>#VALUE!</v>
      </c>
      <c r="AU46" t="e">
        <f t="shared" si="105"/>
        <v>#VALUE!</v>
      </c>
      <c r="AW46" t="e">
        <f t="shared" si="70"/>
        <v>#VALUE!</v>
      </c>
      <c r="AX46" s="15" t="e">
        <f t="shared" si="71"/>
        <v>#VALUE!</v>
      </c>
      <c r="AY46" s="15"/>
    </row>
    <row r="47" spans="1:51" ht="12.75">
      <c r="A47" s="1" t="s">
        <v>33</v>
      </c>
      <c r="B47" s="1" t="s">
        <v>119</v>
      </c>
      <c r="C47" s="144">
        <v>0.0022030909848782944</v>
      </c>
      <c r="D47" s="163">
        <v>0.7410866613362493</v>
      </c>
      <c r="E47" s="5">
        <f t="shared" si="72"/>
        <v>36.05209817430493</v>
      </c>
      <c r="F47" s="5">
        <v>48.64761444943509</v>
      </c>
      <c r="G47" s="6">
        <f t="shared" si="73"/>
        <v>0.7204418972902824</v>
      </c>
      <c r="H47" s="226">
        <v>0.97214257775367</v>
      </c>
      <c r="I47" s="226">
        <v>0.97214257775367</v>
      </c>
      <c r="J47" s="13">
        <f t="shared" si="74"/>
        <v>0</v>
      </c>
      <c r="K47" s="148">
        <v>0.0022030909848782944</v>
      </c>
      <c r="L47" s="133">
        <v>0.0034321100079740363</v>
      </c>
      <c r="M47" s="133">
        <v>291.3659520460117</v>
      </c>
      <c r="N47" s="133">
        <v>0.010313703770460078</v>
      </c>
      <c r="O47" s="15" t="e">
        <f t="shared" si="75"/>
        <v>#VALUE!</v>
      </c>
      <c r="P47" s="15" t="e">
        <f t="shared" si="76"/>
        <v>#VALUE!</v>
      </c>
      <c r="Q47" s="5">
        <v>0.7410866613362493</v>
      </c>
      <c r="R47" s="15" t="e">
        <f t="shared" si="77"/>
        <v>#VALUE!</v>
      </c>
      <c r="S47" s="15" t="e">
        <f t="shared" si="78"/>
        <v>#VALUE!</v>
      </c>
      <c r="T47" s="15" t="e">
        <f t="shared" si="79"/>
        <v>#VALUE!</v>
      </c>
      <c r="U47" s="15" t="e">
        <f t="shared" si="80"/>
        <v>#VALUE!</v>
      </c>
      <c r="V47" s="15" t="e">
        <f t="shared" si="69"/>
        <v>#VALUE!</v>
      </c>
      <c r="W47" s="16" t="e">
        <f t="shared" si="81"/>
        <v>#VALUE!</v>
      </c>
      <c r="X47" t="e">
        <f t="shared" si="82"/>
        <v>#VALUE!</v>
      </c>
      <c r="Y47" t="e">
        <f t="shared" si="83"/>
        <v>#VALUE!</v>
      </c>
      <c r="Z47" t="e">
        <f t="shared" si="84"/>
        <v>#VALUE!</v>
      </c>
      <c r="AA47" t="e">
        <f t="shared" si="85"/>
        <v>#VALUE!</v>
      </c>
      <c r="AB47" t="e">
        <f t="shared" si="86"/>
        <v>#VALUE!</v>
      </c>
      <c r="AC47" t="e">
        <f t="shared" si="87"/>
        <v>#VALUE!</v>
      </c>
      <c r="AD47" t="e">
        <f t="shared" si="88"/>
        <v>#VALUE!</v>
      </c>
      <c r="AE47" s="15" t="e">
        <f t="shared" si="89"/>
        <v>#VALUE!</v>
      </c>
      <c r="AF47" t="e">
        <f t="shared" si="90"/>
        <v>#VALUE!</v>
      </c>
      <c r="AG47" t="e">
        <f t="shared" si="91"/>
        <v>#VALUE!</v>
      </c>
      <c r="AH47" t="e">
        <f t="shared" si="92"/>
        <v>#VALUE!</v>
      </c>
      <c r="AI47" t="e">
        <f t="shared" si="93"/>
        <v>#VALUE!</v>
      </c>
      <c r="AJ47" s="15" t="e">
        <f t="shared" si="94"/>
        <v>#VALUE!</v>
      </c>
      <c r="AK47" t="e">
        <f t="shared" si="95"/>
        <v>#VALUE!</v>
      </c>
      <c r="AL47" t="e">
        <f t="shared" si="96"/>
        <v>#VALUE!</v>
      </c>
      <c r="AM47" t="e">
        <f t="shared" si="97"/>
        <v>#VALUE!</v>
      </c>
      <c r="AN47" t="e">
        <f t="shared" si="98"/>
        <v>#VALUE!</v>
      </c>
      <c r="AO47" s="15" t="e">
        <f t="shared" si="99"/>
        <v>#VALUE!</v>
      </c>
      <c r="AP47" t="e">
        <f t="shared" si="100"/>
        <v>#VALUE!</v>
      </c>
      <c r="AQ47" t="e">
        <f t="shared" si="101"/>
        <v>#VALUE!</v>
      </c>
      <c r="AR47" t="e">
        <f t="shared" si="102"/>
        <v>#VALUE!</v>
      </c>
      <c r="AS47" t="e">
        <f t="shared" si="103"/>
        <v>#VALUE!</v>
      </c>
      <c r="AT47" s="15" t="e">
        <f t="shared" si="104"/>
        <v>#VALUE!</v>
      </c>
      <c r="AU47" t="e">
        <f t="shared" si="105"/>
        <v>#VALUE!</v>
      </c>
      <c r="AW47" t="e">
        <f t="shared" si="70"/>
        <v>#VALUE!</v>
      </c>
      <c r="AX47" s="15" t="e">
        <f t="shared" si="71"/>
        <v>#VALUE!</v>
      </c>
      <c r="AY47" s="15"/>
    </row>
    <row r="48" spans="1:51" ht="12.75">
      <c r="A48" s="1" t="s">
        <v>34</v>
      </c>
      <c r="B48" s="1" t="s">
        <v>119</v>
      </c>
      <c r="C48" s="144">
        <v>0.0164531647633618</v>
      </c>
      <c r="D48" s="163">
        <v>5.534597084999016</v>
      </c>
      <c r="E48" s="5">
        <f t="shared" si="72"/>
        <v>30.82715640991291</v>
      </c>
      <c r="F48" s="5">
        <v>5.569900741910717</v>
      </c>
      <c r="G48" s="6">
        <f t="shared" si="73"/>
        <v>1.6888440463771288</v>
      </c>
      <c r="H48" s="226">
        <v>0.30514308818515</v>
      </c>
      <c r="I48" s="226">
        <v>0.30514308818515</v>
      </c>
      <c r="J48" s="13">
        <f t="shared" si="74"/>
        <v>0</v>
      </c>
      <c r="K48" s="148">
        <v>0.0164531647633618</v>
      </c>
      <c r="L48" s="133">
        <v>0.025631747319913495</v>
      </c>
      <c r="M48" s="133">
        <v>39.01411743486924</v>
      </c>
      <c r="N48" s="133">
        <v>0.0013810125969201796</v>
      </c>
      <c r="O48" s="15" t="e">
        <f t="shared" si="75"/>
        <v>#VALUE!</v>
      </c>
      <c r="P48" s="15" t="e">
        <f t="shared" si="76"/>
        <v>#VALUE!</v>
      </c>
      <c r="Q48" s="5">
        <v>5.534597084999016</v>
      </c>
      <c r="R48" s="15" t="e">
        <f t="shared" si="77"/>
        <v>#VALUE!</v>
      </c>
      <c r="S48" s="15" t="e">
        <f t="shared" si="78"/>
        <v>#VALUE!</v>
      </c>
      <c r="T48" s="15" t="e">
        <f t="shared" si="79"/>
        <v>#VALUE!</v>
      </c>
      <c r="U48" s="15" t="e">
        <f t="shared" si="80"/>
        <v>#VALUE!</v>
      </c>
      <c r="V48" s="15" t="e">
        <f t="shared" si="69"/>
        <v>#VALUE!</v>
      </c>
      <c r="W48" s="16" t="e">
        <f t="shared" si="81"/>
        <v>#VALUE!</v>
      </c>
      <c r="X48" t="e">
        <f t="shared" si="82"/>
        <v>#VALUE!</v>
      </c>
      <c r="Y48" t="e">
        <f t="shared" si="83"/>
        <v>#VALUE!</v>
      </c>
      <c r="Z48" t="e">
        <f t="shared" si="84"/>
        <v>#VALUE!</v>
      </c>
      <c r="AA48" t="e">
        <f t="shared" si="85"/>
        <v>#VALUE!</v>
      </c>
      <c r="AB48" t="e">
        <f t="shared" si="86"/>
        <v>#VALUE!</v>
      </c>
      <c r="AC48" t="e">
        <f t="shared" si="87"/>
        <v>#VALUE!</v>
      </c>
      <c r="AD48" t="e">
        <f t="shared" si="88"/>
        <v>#VALUE!</v>
      </c>
      <c r="AE48" s="15" t="e">
        <f t="shared" si="89"/>
        <v>#VALUE!</v>
      </c>
      <c r="AF48" t="e">
        <f t="shared" si="90"/>
        <v>#VALUE!</v>
      </c>
      <c r="AG48" t="e">
        <f t="shared" si="91"/>
        <v>#VALUE!</v>
      </c>
      <c r="AH48" t="e">
        <f t="shared" si="92"/>
        <v>#VALUE!</v>
      </c>
      <c r="AI48" t="e">
        <f t="shared" si="93"/>
        <v>#VALUE!</v>
      </c>
      <c r="AJ48" s="15" t="e">
        <f t="shared" si="94"/>
        <v>#VALUE!</v>
      </c>
      <c r="AK48" t="e">
        <f t="shared" si="95"/>
        <v>#VALUE!</v>
      </c>
      <c r="AL48" t="e">
        <f t="shared" si="96"/>
        <v>#VALUE!</v>
      </c>
      <c r="AM48" t="e">
        <f t="shared" si="97"/>
        <v>#VALUE!</v>
      </c>
      <c r="AN48" t="e">
        <f t="shared" si="98"/>
        <v>#VALUE!</v>
      </c>
      <c r="AO48" s="15" t="e">
        <f t="shared" si="99"/>
        <v>#VALUE!</v>
      </c>
      <c r="AP48" t="e">
        <f t="shared" si="100"/>
        <v>#VALUE!</v>
      </c>
      <c r="AQ48" t="e">
        <f t="shared" si="101"/>
        <v>#VALUE!</v>
      </c>
      <c r="AR48" t="e">
        <f t="shared" si="102"/>
        <v>#VALUE!</v>
      </c>
      <c r="AS48" t="e">
        <f t="shared" si="103"/>
        <v>#VALUE!</v>
      </c>
      <c r="AT48" s="15" t="e">
        <f t="shared" si="104"/>
        <v>#VALUE!</v>
      </c>
      <c r="AU48" t="e">
        <f t="shared" si="105"/>
        <v>#VALUE!</v>
      </c>
      <c r="AW48" t="e">
        <f t="shared" si="70"/>
        <v>#VALUE!</v>
      </c>
      <c r="AX48" s="15" t="e">
        <f t="shared" si="71"/>
        <v>#VALUE!</v>
      </c>
      <c r="AY48" s="15"/>
    </row>
    <row r="49" spans="1:51" ht="12.75">
      <c r="A49" s="1" t="s">
        <v>229</v>
      </c>
      <c r="B49" s="1" t="s">
        <v>119</v>
      </c>
      <c r="C49" s="144">
        <v>0.01908955304721376</v>
      </c>
      <c r="D49" s="163">
        <v>6.421438438659125</v>
      </c>
      <c r="E49" s="5">
        <f t="shared" si="72"/>
        <v>40.51471236979386</v>
      </c>
      <c r="F49" s="5">
        <v>6.3092892280773505</v>
      </c>
      <c r="G49" s="6">
        <f t="shared" si="73"/>
        <v>2.037616969060876</v>
      </c>
      <c r="H49" s="226">
        <v>0.31731472450063</v>
      </c>
      <c r="I49" s="226">
        <v>0.31731472450063</v>
      </c>
      <c r="J49" s="13">
        <f t="shared" si="74"/>
        <v>0</v>
      </c>
      <c r="K49" s="148">
        <v>0.01908955304721376</v>
      </c>
      <c r="L49" s="133">
        <v>0.02973887438639444</v>
      </c>
      <c r="M49" s="133">
        <v>33.62602050794165</v>
      </c>
      <c r="N49" s="133">
        <v>0.0011902860030933145</v>
      </c>
      <c r="O49" s="15" t="e">
        <f t="shared" si="75"/>
        <v>#VALUE!</v>
      </c>
      <c r="P49" s="15" t="e">
        <f t="shared" si="76"/>
        <v>#VALUE!</v>
      </c>
      <c r="Q49" s="5">
        <v>6.421438438659125</v>
      </c>
      <c r="R49" s="15" t="e">
        <f t="shared" si="77"/>
        <v>#VALUE!</v>
      </c>
      <c r="S49" s="15" t="e">
        <f t="shared" si="78"/>
        <v>#VALUE!</v>
      </c>
      <c r="T49" s="15" t="e">
        <f t="shared" si="79"/>
        <v>#VALUE!</v>
      </c>
      <c r="U49" s="15" t="e">
        <f t="shared" si="80"/>
        <v>#VALUE!</v>
      </c>
      <c r="V49" s="15" t="e">
        <f t="shared" si="69"/>
        <v>#VALUE!</v>
      </c>
      <c r="W49" s="16" t="e">
        <f t="shared" si="81"/>
        <v>#VALUE!</v>
      </c>
      <c r="X49" t="e">
        <f t="shared" si="82"/>
        <v>#VALUE!</v>
      </c>
      <c r="Y49" t="e">
        <f t="shared" si="83"/>
        <v>#VALUE!</v>
      </c>
      <c r="Z49" t="e">
        <f t="shared" si="84"/>
        <v>#VALUE!</v>
      </c>
      <c r="AA49" t="e">
        <f t="shared" si="85"/>
        <v>#VALUE!</v>
      </c>
      <c r="AB49" t="e">
        <f t="shared" si="86"/>
        <v>#VALUE!</v>
      </c>
      <c r="AC49" t="e">
        <f t="shared" si="87"/>
        <v>#VALUE!</v>
      </c>
      <c r="AD49" t="e">
        <f t="shared" si="88"/>
        <v>#VALUE!</v>
      </c>
      <c r="AE49" s="15" t="e">
        <f t="shared" si="89"/>
        <v>#VALUE!</v>
      </c>
      <c r="AF49" t="e">
        <f t="shared" si="90"/>
        <v>#VALUE!</v>
      </c>
      <c r="AG49" t="e">
        <f t="shared" si="91"/>
        <v>#VALUE!</v>
      </c>
      <c r="AH49" t="e">
        <f t="shared" si="92"/>
        <v>#VALUE!</v>
      </c>
      <c r="AI49" t="e">
        <f t="shared" si="93"/>
        <v>#VALUE!</v>
      </c>
      <c r="AJ49" s="15" t="e">
        <f t="shared" si="94"/>
        <v>#VALUE!</v>
      </c>
      <c r="AK49" t="e">
        <f t="shared" si="95"/>
        <v>#VALUE!</v>
      </c>
      <c r="AL49" t="e">
        <f t="shared" si="96"/>
        <v>#VALUE!</v>
      </c>
      <c r="AM49" t="e">
        <f t="shared" si="97"/>
        <v>#VALUE!</v>
      </c>
      <c r="AN49" t="e">
        <f t="shared" si="98"/>
        <v>#VALUE!</v>
      </c>
      <c r="AO49" s="15" t="e">
        <f t="shared" si="99"/>
        <v>#VALUE!</v>
      </c>
      <c r="AP49" t="e">
        <f t="shared" si="100"/>
        <v>#VALUE!</v>
      </c>
      <c r="AQ49" t="e">
        <f t="shared" si="101"/>
        <v>#VALUE!</v>
      </c>
      <c r="AR49" t="e">
        <f t="shared" si="102"/>
        <v>#VALUE!</v>
      </c>
      <c r="AS49" t="e">
        <f t="shared" si="103"/>
        <v>#VALUE!</v>
      </c>
      <c r="AT49" s="15" t="e">
        <f t="shared" si="104"/>
        <v>#VALUE!</v>
      </c>
      <c r="AU49" t="e">
        <f t="shared" si="105"/>
        <v>#VALUE!</v>
      </c>
      <c r="AW49" t="e">
        <f t="shared" si="70"/>
        <v>#VALUE!</v>
      </c>
      <c r="AX49" s="15" t="e">
        <f t="shared" si="71"/>
        <v>#VALUE!</v>
      </c>
      <c r="AY49" s="15"/>
    </row>
    <row r="50" spans="1:51" ht="12.75">
      <c r="A50" s="1" t="s">
        <v>223</v>
      </c>
      <c r="B50" s="3"/>
      <c r="C50" s="144">
        <f>SUM(C51:C52)</f>
        <v>0.03222017665323565</v>
      </c>
      <c r="D50" s="163"/>
      <c r="E50" s="5">
        <f>SUM(E51:E52)</f>
        <v>190.0659613989373</v>
      </c>
      <c r="F50" s="3"/>
      <c r="G50" s="6">
        <f>SUM(G51:G52)</f>
        <v>7.1509669379885334</v>
      </c>
      <c r="H50" s="226"/>
      <c r="I50" s="226"/>
      <c r="J50" s="13">
        <f t="shared" si="74"/>
        <v>0</v>
      </c>
      <c r="K50" s="148"/>
      <c r="L50" s="133"/>
      <c r="M50" s="133"/>
      <c r="N50" s="133"/>
      <c r="P50" s="15"/>
      <c r="Q50" s="5"/>
      <c r="T50" s="15">
        <f t="shared" si="79"/>
        <v>0</v>
      </c>
      <c r="U50" s="15">
        <f t="shared" si="80"/>
        <v>0</v>
      </c>
      <c r="V50" s="15" t="e">
        <f t="shared" si="69"/>
        <v>#VALUE!</v>
      </c>
      <c r="W50" s="16">
        <f t="shared" si="81"/>
        <v>0</v>
      </c>
      <c r="X50">
        <f t="shared" si="82"/>
        <v>0</v>
      </c>
      <c r="Y50">
        <f t="shared" si="83"/>
        <v>0</v>
      </c>
      <c r="Z50">
        <f t="shared" si="84"/>
        <v>0</v>
      </c>
      <c r="AA50" t="e">
        <f t="shared" si="85"/>
        <v>#VALUE!</v>
      </c>
      <c r="AB50">
        <f t="shared" si="86"/>
        <v>0</v>
      </c>
      <c r="AC50">
        <f t="shared" si="87"/>
        <v>0</v>
      </c>
      <c r="AD50">
        <f t="shared" si="88"/>
        <v>0</v>
      </c>
      <c r="AE50" s="15">
        <f t="shared" si="89"/>
        <v>0</v>
      </c>
      <c r="AF50" t="e">
        <f t="shared" si="90"/>
        <v>#VALUE!</v>
      </c>
      <c r="AG50">
        <f t="shared" si="91"/>
        <v>0</v>
      </c>
      <c r="AH50">
        <f t="shared" si="92"/>
        <v>0</v>
      </c>
      <c r="AI50">
        <f t="shared" si="93"/>
        <v>0</v>
      </c>
      <c r="AJ50" s="15">
        <f t="shared" si="94"/>
        <v>0</v>
      </c>
      <c r="AK50" t="e">
        <f t="shared" si="95"/>
        <v>#VALUE!</v>
      </c>
      <c r="AL50">
        <f t="shared" si="96"/>
        <v>0</v>
      </c>
      <c r="AM50">
        <f t="shared" si="97"/>
        <v>0</v>
      </c>
      <c r="AN50">
        <f t="shared" si="98"/>
        <v>0</v>
      </c>
      <c r="AO50" s="15">
        <f t="shared" si="99"/>
        <v>0</v>
      </c>
      <c r="AP50" t="e">
        <f t="shared" si="100"/>
        <v>#VALUE!</v>
      </c>
      <c r="AQ50">
        <f t="shared" si="101"/>
        <v>0</v>
      </c>
      <c r="AR50">
        <f t="shared" si="102"/>
        <v>0</v>
      </c>
      <c r="AS50">
        <f t="shared" si="103"/>
        <v>0</v>
      </c>
      <c r="AT50" s="15">
        <f t="shared" si="104"/>
        <v>0</v>
      </c>
      <c r="AU50" t="e">
        <f t="shared" si="105"/>
        <v>#VALUE!</v>
      </c>
      <c r="AW50">
        <f t="shared" si="70"/>
        <v>0</v>
      </c>
      <c r="AX50" s="15" t="e">
        <f t="shared" si="71"/>
        <v>#VALUE!</v>
      </c>
      <c r="AY50" s="15" t="e">
        <f>SUM(AW51:AX52)</f>
        <v>#VALUE!</v>
      </c>
    </row>
    <row r="51" spans="1:51" ht="12.75">
      <c r="A51" s="1" t="s">
        <v>230</v>
      </c>
      <c r="B51" s="1" t="s">
        <v>119</v>
      </c>
      <c r="C51" s="144">
        <v>0.030198184281664316</v>
      </c>
      <c r="D51" s="163">
        <v>10.158214854186662</v>
      </c>
      <c r="E51" s="5">
        <f>F51*$D51</f>
        <v>181.4339613989373</v>
      </c>
      <c r="F51" s="5">
        <v>17.860811570072286</v>
      </c>
      <c r="G51" s="6">
        <f>H51*$D51</f>
        <v>6.761266091871544</v>
      </c>
      <c r="H51" s="226">
        <v>0.6655958934639898</v>
      </c>
      <c r="I51" s="226">
        <v>0.6655958934639898</v>
      </c>
      <c r="J51" s="13">
        <f t="shared" si="74"/>
        <v>0</v>
      </c>
      <c r="K51" s="148">
        <v>0.030198184281664316</v>
      </c>
      <c r="L51" s="133">
        <v>0.047044580186264943</v>
      </c>
      <c r="M51" s="133">
        <v>21.25643370693652</v>
      </c>
      <c r="N51" s="133">
        <v>0.0007524302648620566</v>
      </c>
      <c r="O51" s="15" t="e">
        <f t="shared" si="75"/>
        <v>#VALUE!</v>
      </c>
      <c r="P51" s="15" t="e">
        <f t="shared" si="76"/>
        <v>#VALUE!</v>
      </c>
      <c r="Q51" s="5">
        <v>10.158214854186662</v>
      </c>
      <c r="R51" s="15" t="e">
        <f t="shared" si="77"/>
        <v>#VALUE!</v>
      </c>
      <c r="S51" s="15" t="e">
        <f t="shared" si="78"/>
        <v>#VALUE!</v>
      </c>
      <c r="T51" s="15" t="e">
        <f t="shared" si="79"/>
        <v>#VALUE!</v>
      </c>
      <c r="U51" s="15" t="e">
        <f t="shared" si="80"/>
        <v>#VALUE!</v>
      </c>
      <c r="V51" s="15" t="e">
        <f t="shared" si="69"/>
        <v>#VALUE!</v>
      </c>
      <c r="W51" s="16" t="e">
        <f t="shared" si="81"/>
        <v>#VALUE!</v>
      </c>
      <c r="X51" t="e">
        <f t="shared" si="82"/>
        <v>#VALUE!</v>
      </c>
      <c r="Y51" t="e">
        <f t="shared" si="83"/>
        <v>#VALUE!</v>
      </c>
      <c r="Z51" t="e">
        <f t="shared" si="84"/>
        <v>#VALUE!</v>
      </c>
      <c r="AA51" t="e">
        <f t="shared" si="85"/>
        <v>#VALUE!</v>
      </c>
      <c r="AB51" t="e">
        <f t="shared" si="86"/>
        <v>#VALUE!</v>
      </c>
      <c r="AC51" t="e">
        <f t="shared" si="87"/>
        <v>#VALUE!</v>
      </c>
      <c r="AD51" t="e">
        <f t="shared" si="88"/>
        <v>#VALUE!</v>
      </c>
      <c r="AE51" s="15" t="e">
        <f t="shared" si="89"/>
        <v>#VALUE!</v>
      </c>
      <c r="AF51" t="e">
        <f t="shared" si="90"/>
        <v>#VALUE!</v>
      </c>
      <c r="AG51" t="e">
        <f t="shared" si="91"/>
        <v>#VALUE!</v>
      </c>
      <c r="AH51" t="e">
        <f t="shared" si="92"/>
        <v>#VALUE!</v>
      </c>
      <c r="AI51" t="e">
        <f t="shared" si="93"/>
        <v>#VALUE!</v>
      </c>
      <c r="AJ51" s="15" t="e">
        <f t="shared" si="94"/>
        <v>#VALUE!</v>
      </c>
      <c r="AK51" t="e">
        <f t="shared" si="95"/>
        <v>#VALUE!</v>
      </c>
      <c r="AL51" t="e">
        <f t="shared" si="96"/>
        <v>#VALUE!</v>
      </c>
      <c r="AM51" t="e">
        <f t="shared" si="97"/>
        <v>#VALUE!</v>
      </c>
      <c r="AN51" t="e">
        <f t="shared" si="98"/>
        <v>#VALUE!</v>
      </c>
      <c r="AO51" s="15" t="e">
        <f t="shared" si="99"/>
        <v>#VALUE!</v>
      </c>
      <c r="AP51" t="e">
        <f t="shared" si="100"/>
        <v>#VALUE!</v>
      </c>
      <c r="AQ51" t="e">
        <f t="shared" si="101"/>
        <v>#VALUE!</v>
      </c>
      <c r="AR51" t="e">
        <f t="shared" si="102"/>
        <v>#VALUE!</v>
      </c>
      <c r="AS51" t="e">
        <f t="shared" si="103"/>
        <v>#VALUE!</v>
      </c>
      <c r="AT51" s="15" t="e">
        <f t="shared" si="104"/>
        <v>#VALUE!</v>
      </c>
      <c r="AU51" t="e">
        <f t="shared" si="105"/>
        <v>#VALUE!</v>
      </c>
      <c r="AW51" t="e">
        <f t="shared" si="70"/>
        <v>#VALUE!</v>
      </c>
      <c r="AX51" s="15" t="e">
        <f t="shared" si="71"/>
        <v>#VALUE!</v>
      </c>
      <c r="AY51" s="15"/>
    </row>
    <row r="52" spans="1:51" ht="12.75">
      <c r="A52" s="150" t="s">
        <v>35</v>
      </c>
      <c r="B52" s="8" t="s">
        <v>124</v>
      </c>
      <c r="C52" s="145">
        <v>0.0020219923715713347</v>
      </c>
      <c r="D52" s="164">
        <v>0.6801678124873021</v>
      </c>
      <c r="E52" s="5">
        <f>F52*$D52</f>
        <v>8.632</v>
      </c>
      <c r="F52" s="10">
        <v>12.690985726645437</v>
      </c>
      <c r="G52" s="6">
        <f>H52*$D52</f>
        <v>0.3897008461169893</v>
      </c>
      <c r="H52" s="226">
        <v>0.57294808569652</v>
      </c>
      <c r="I52" s="226">
        <v>0.57294808569652</v>
      </c>
      <c r="J52" s="13">
        <f t="shared" si="74"/>
        <v>0</v>
      </c>
      <c r="K52" s="149"/>
      <c r="L52" s="133"/>
      <c r="M52" s="133"/>
      <c r="N52" s="133"/>
      <c r="P52" s="15">
        <f t="shared" si="76"/>
        <v>0</v>
      </c>
      <c r="Q52" s="10"/>
      <c r="R52" s="15">
        <f t="shared" si="77"/>
        <v>0</v>
      </c>
      <c r="S52" s="15">
        <f t="shared" si="78"/>
        <v>0</v>
      </c>
      <c r="T52" s="15">
        <f t="shared" si="79"/>
        <v>0</v>
      </c>
      <c r="U52" s="15">
        <f t="shared" si="80"/>
        <v>0</v>
      </c>
      <c r="V52" s="15" t="e">
        <f t="shared" si="69"/>
        <v>#VALUE!</v>
      </c>
      <c r="W52" s="16" t="e">
        <f t="shared" si="81"/>
        <v>#VALUE!</v>
      </c>
      <c r="X52" t="e">
        <f t="shared" si="82"/>
        <v>#VALUE!</v>
      </c>
      <c r="Y52" t="e">
        <f t="shared" si="83"/>
        <v>#VALUE!</v>
      </c>
      <c r="Z52" t="e">
        <f t="shared" si="84"/>
        <v>#VALUE!</v>
      </c>
      <c r="AA52" t="e">
        <f t="shared" si="85"/>
        <v>#VALUE!</v>
      </c>
      <c r="AB52" t="e">
        <f t="shared" si="86"/>
        <v>#VALUE!</v>
      </c>
      <c r="AC52" t="e">
        <f t="shared" si="87"/>
        <v>#VALUE!</v>
      </c>
      <c r="AD52" t="e">
        <f t="shared" si="88"/>
        <v>#VALUE!</v>
      </c>
      <c r="AE52" s="15" t="e">
        <f t="shared" si="89"/>
        <v>#VALUE!</v>
      </c>
      <c r="AF52" t="e">
        <f t="shared" si="90"/>
        <v>#VALUE!</v>
      </c>
      <c r="AG52" t="e">
        <f t="shared" si="91"/>
        <v>#VALUE!</v>
      </c>
      <c r="AH52" t="e">
        <f t="shared" si="92"/>
        <v>#VALUE!</v>
      </c>
      <c r="AI52" t="e">
        <f t="shared" si="93"/>
        <v>#VALUE!</v>
      </c>
      <c r="AJ52" s="15" t="e">
        <f t="shared" si="94"/>
        <v>#VALUE!</v>
      </c>
      <c r="AK52" t="e">
        <f t="shared" si="95"/>
        <v>#VALUE!</v>
      </c>
      <c r="AL52" t="e">
        <f t="shared" si="96"/>
        <v>#VALUE!</v>
      </c>
      <c r="AM52" t="e">
        <f t="shared" si="97"/>
        <v>#VALUE!</v>
      </c>
      <c r="AN52" t="e">
        <f t="shared" si="98"/>
        <v>#VALUE!</v>
      </c>
      <c r="AO52" s="15" t="e">
        <f t="shared" si="99"/>
        <v>#VALUE!</v>
      </c>
      <c r="AP52" t="e">
        <f t="shared" si="100"/>
        <v>#VALUE!</v>
      </c>
      <c r="AQ52" t="e">
        <f t="shared" si="101"/>
        <v>#VALUE!</v>
      </c>
      <c r="AR52" t="e">
        <f t="shared" si="102"/>
        <v>#VALUE!</v>
      </c>
      <c r="AS52" t="e">
        <f t="shared" si="103"/>
        <v>#VALUE!</v>
      </c>
      <c r="AT52" s="15" t="e">
        <f t="shared" si="104"/>
        <v>#VALUE!</v>
      </c>
      <c r="AU52" t="e">
        <f t="shared" si="105"/>
        <v>#VALUE!</v>
      </c>
      <c r="AW52" t="e">
        <f t="shared" si="70"/>
        <v>#VALUE!</v>
      </c>
      <c r="AX52" s="15" t="e">
        <f t="shared" si="71"/>
        <v>#VALUE!</v>
      </c>
      <c r="AY52" s="15"/>
    </row>
    <row r="53" spans="1:51" ht="12.75">
      <c r="A53" s="1" t="s">
        <v>36</v>
      </c>
      <c r="B53" s="3"/>
      <c r="C53" s="144">
        <f>SUM(C54:C55)</f>
        <v>0.020950248050315295</v>
      </c>
      <c r="D53" s="163"/>
      <c r="E53" s="5">
        <f>SUM(E54:E55)</f>
        <v>158.23864615635762</v>
      </c>
      <c r="F53" s="3"/>
      <c r="G53" s="6">
        <f>SUM(G54:G55)</f>
        <v>31051.90850070677</v>
      </c>
      <c r="H53" s="226"/>
      <c r="I53" s="226"/>
      <c r="J53" s="13">
        <f t="shared" si="74"/>
        <v>0</v>
      </c>
      <c r="K53" s="148"/>
      <c r="L53" s="133"/>
      <c r="M53" s="133"/>
      <c r="N53" s="133"/>
      <c r="P53" s="15"/>
      <c r="Q53" s="5"/>
      <c r="S53" s="15">
        <f t="shared" si="78"/>
        <v>0</v>
      </c>
      <c r="T53" s="15">
        <f t="shared" si="79"/>
        <v>0</v>
      </c>
      <c r="U53" s="15">
        <f t="shared" si="80"/>
        <v>0</v>
      </c>
      <c r="V53" s="15" t="e">
        <f t="shared" si="69"/>
        <v>#VALUE!</v>
      </c>
      <c r="W53" s="16">
        <f t="shared" si="81"/>
        <v>0</v>
      </c>
      <c r="X53">
        <f t="shared" si="82"/>
        <v>0</v>
      </c>
      <c r="Y53">
        <f t="shared" si="83"/>
        <v>0</v>
      </c>
      <c r="Z53">
        <f t="shared" si="84"/>
        <v>0</v>
      </c>
      <c r="AA53" t="e">
        <f t="shared" si="85"/>
        <v>#VALUE!</v>
      </c>
      <c r="AB53">
        <f t="shared" si="86"/>
        <v>0</v>
      </c>
      <c r="AC53">
        <f t="shared" si="87"/>
        <v>0</v>
      </c>
      <c r="AD53">
        <f t="shared" si="88"/>
        <v>0</v>
      </c>
      <c r="AE53" s="15">
        <f t="shared" si="89"/>
        <v>0</v>
      </c>
      <c r="AF53" t="e">
        <f t="shared" si="90"/>
        <v>#VALUE!</v>
      </c>
      <c r="AG53">
        <f t="shared" si="91"/>
        <v>0</v>
      </c>
      <c r="AH53">
        <f t="shared" si="92"/>
        <v>0</v>
      </c>
      <c r="AI53">
        <f t="shared" si="93"/>
        <v>0</v>
      </c>
      <c r="AJ53" s="15">
        <f t="shared" si="94"/>
        <v>0</v>
      </c>
      <c r="AK53" t="e">
        <f t="shared" si="95"/>
        <v>#VALUE!</v>
      </c>
      <c r="AL53">
        <f t="shared" si="96"/>
        <v>0</v>
      </c>
      <c r="AM53">
        <f t="shared" si="97"/>
        <v>0</v>
      </c>
      <c r="AN53">
        <f t="shared" si="98"/>
        <v>0</v>
      </c>
      <c r="AO53" s="15">
        <f t="shared" si="99"/>
        <v>0</v>
      </c>
      <c r="AP53" t="e">
        <f t="shared" si="100"/>
        <v>#VALUE!</v>
      </c>
      <c r="AQ53">
        <f t="shared" si="101"/>
        <v>0</v>
      </c>
      <c r="AR53">
        <f t="shared" si="102"/>
        <v>0</v>
      </c>
      <c r="AS53">
        <f t="shared" si="103"/>
        <v>0</v>
      </c>
      <c r="AT53" s="15">
        <f t="shared" si="104"/>
        <v>0</v>
      </c>
      <c r="AU53" t="e">
        <f t="shared" si="105"/>
        <v>#VALUE!</v>
      </c>
      <c r="AW53">
        <f t="shared" si="70"/>
        <v>0</v>
      </c>
      <c r="AX53" s="15" t="e">
        <f t="shared" si="71"/>
        <v>#VALUE!</v>
      </c>
      <c r="AY53" s="15" t="e">
        <f>SUM(AW54:AX55)</f>
        <v>#VALUE!</v>
      </c>
    </row>
    <row r="54" spans="1:51" ht="12.75">
      <c r="A54" s="1" t="s">
        <v>231</v>
      </c>
      <c r="B54" s="1" t="s">
        <v>119</v>
      </c>
      <c r="C54" s="144">
        <v>0.003542631391415045</v>
      </c>
      <c r="D54" s="163">
        <v>1.1916879004222345</v>
      </c>
      <c r="E54" s="5">
        <f>F54*$D54</f>
        <v>126.46072165489142</v>
      </c>
      <c r="F54" s="5">
        <v>106.11899441966669</v>
      </c>
      <c r="G54" s="6">
        <f>H54*$D54</f>
        <v>31049.42824550132</v>
      </c>
      <c r="H54" s="227" t="s">
        <v>362</v>
      </c>
      <c r="I54" s="227" t="s">
        <v>362</v>
      </c>
      <c r="J54" s="13">
        <f t="shared" si="74"/>
        <v>0</v>
      </c>
      <c r="K54" s="148">
        <v>0.003542631391415045</v>
      </c>
      <c r="L54" s="133">
        <v>0.005518928059028958</v>
      </c>
      <c r="M54" s="133">
        <v>181.19460687007896</v>
      </c>
      <c r="N54" s="133">
        <v>0.0064138842817428815</v>
      </c>
      <c r="O54" s="15" t="e">
        <f t="shared" si="75"/>
        <v>#VALUE!</v>
      </c>
      <c r="P54" s="15" t="e">
        <f t="shared" si="76"/>
        <v>#VALUE!</v>
      </c>
      <c r="Q54" s="5">
        <v>1.1916879004222345</v>
      </c>
      <c r="R54" s="15" t="e">
        <f t="shared" si="77"/>
        <v>#VALUE!</v>
      </c>
      <c r="S54" s="15" t="e">
        <f t="shared" si="78"/>
        <v>#VALUE!</v>
      </c>
      <c r="T54" s="15" t="e">
        <f t="shared" si="79"/>
        <v>#VALUE!</v>
      </c>
      <c r="U54" s="15" t="e">
        <f t="shared" si="80"/>
        <v>#VALUE!</v>
      </c>
      <c r="V54" s="15" t="e">
        <f t="shared" si="69"/>
        <v>#VALUE!</v>
      </c>
      <c r="W54" s="16" t="e">
        <f t="shared" si="81"/>
        <v>#VALUE!</v>
      </c>
      <c r="X54" t="e">
        <f t="shared" si="82"/>
        <v>#VALUE!</v>
      </c>
      <c r="Y54" t="e">
        <f t="shared" si="83"/>
        <v>#VALUE!</v>
      </c>
      <c r="Z54" t="e">
        <f t="shared" si="84"/>
        <v>#VALUE!</v>
      </c>
      <c r="AA54" t="e">
        <f t="shared" si="85"/>
        <v>#VALUE!</v>
      </c>
      <c r="AB54" t="e">
        <f t="shared" si="86"/>
        <v>#VALUE!</v>
      </c>
      <c r="AC54" t="e">
        <f t="shared" si="87"/>
        <v>#VALUE!</v>
      </c>
      <c r="AD54" t="e">
        <f t="shared" si="88"/>
        <v>#VALUE!</v>
      </c>
      <c r="AE54" s="15" t="e">
        <f t="shared" si="89"/>
        <v>#VALUE!</v>
      </c>
      <c r="AF54" t="e">
        <f t="shared" si="90"/>
        <v>#VALUE!</v>
      </c>
      <c r="AG54" t="e">
        <f t="shared" si="91"/>
        <v>#VALUE!</v>
      </c>
      <c r="AH54" t="e">
        <f t="shared" si="92"/>
        <v>#VALUE!</v>
      </c>
      <c r="AI54" t="e">
        <f t="shared" si="93"/>
        <v>#VALUE!</v>
      </c>
      <c r="AJ54" s="15" t="e">
        <f t="shared" si="94"/>
        <v>#VALUE!</v>
      </c>
      <c r="AK54" t="e">
        <f t="shared" si="95"/>
        <v>#VALUE!</v>
      </c>
      <c r="AL54" t="e">
        <f t="shared" si="96"/>
        <v>#VALUE!</v>
      </c>
      <c r="AM54" t="e">
        <f t="shared" si="97"/>
        <v>#VALUE!</v>
      </c>
      <c r="AN54" t="e">
        <f t="shared" si="98"/>
        <v>#VALUE!</v>
      </c>
      <c r="AO54" s="15" t="e">
        <f t="shared" si="99"/>
        <v>#VALUE!</v>
      </c>
      <c r="AP54" t="e">
        <f t="shared" si="100"/>
        <v>#VALUE!</v>
      </c>
      <c r="AQ54" t="e">
        <f t="shared" si="101"/>
        <v>#VALUE!</v>
      </c>
      <c r="AR54" t="e">
        <f t="shared" si="102"/>
        <v>#VALUE!</v>
      </c>
      <c r="AS54" t="e">
        <f t="shared" si="103"/>
        <v>#VALUE!</v>
      </c>
      <c r="AT54" s="15" t="e">
        <f t="shared" si="104"/>
        <v>#VALUE!</v>
      </c>
      <c r="AU54" t="e">
        <f t="shared" si="105"/>
        <v>#VALUE!</v>
      </c>
      <c r="AW54" t="e">
        <f t="shared" si="70"/>
        <v>#VALUE!</v>
      </c>
      <c r="AX54" s="15" t="e">
        <f t="shared" si="71"/>
        <v>#VALUE!</v>
      </c>
      <c r="AY54" s="15"/>
    </row>
    <row r="55" spans="1:51" ht="12.75">
      <c r="A55" s="1" t="s">
        <v>37</v>
      </c>
      <c r="B55" s="1" t="s">
        <v>125</v>
      </c>
      <c r="C55" s="144">
        <v>0.01740761665890025</v>
      </c>
      <c r="D55" s="163">
        <v>5.855660342724488</v>
      </c>
      <c r="E55" s="5">
        <f>F55*$D55</f>
        <v>31.777924501466217</v>
      </c>
      <c r="F55" s="5">
        <v>5.426872912966937</v>
      </c>
      <c r="G55" s="6">
        <f>H55*$D55</f>
        <v>2.480255205449843</v>
      </c>
      <c r="H55" s="226">
        <v>0.42356541539017</v>
      </c>
      <c r="I55" s="226">
        <v>0.42356541539017</v>
      </c>
      <c r="J55" s="13">
        <f t="shared" si="74"/>
        <v>0</v>
      </c>
      <c r="K55" s="148">
        <v>0.01740761665890025</v>
      </c>
      <c r="L55" s="133">
        <v>0.02711865091367872</v>
      </c>
      <c r="M55" s="133">
        <v>36.87499069120718</v>
      </c>
      <c r="N55" s="133">
        <v>0.001305292289153693</v>
      </c>
      <c r="O55" s="15" t="e">
        <f t="shared" si="75"/>
        <v>#VALUE!</v>
      </c>
      <c r="P55" s="15" t="e">
        <f t="shared" si="76"/>
        <v>#VALUE!</v>
      </c>
      <c r="Q55" s="5">
        <v>5.855660342724488</v>
      </c>
      <c r="R55" s="15" t="e">
        <f t="shared" si="77"/>
        <v>#VALUE!</v>
      </c>
      <c r="S55" s="15" t="e">
        <f t="shared" si="78"/>
        <v>#VALUE!</v>
      </c>
      <c r="T55" s="15" t="e">
        <f t="shared" si="79"/>
        <v>#VALUE!</v>
      </c>
      <c r="U55" s="15" t="e">
        <f t="shared" si="80"/>
        <v>#VALUE!</v>
      </c>
      <c r="V55" s="15" t="e">
        <f t="shared" si="69"/>
        <v>#VALUE!</v>
      </c>
      <c r="W55" s="16" t="e">
        <f t="shared" si="81"/>
        <v>#VALUE!</v>
      </c>
      <c r="X55" t="e">
        <f t="shared" si="82"/>
        <v>#VALUE!</v>
      </c>
      <c r="Y55" t="e">
        <f t="shared" si="83"/>
        <v>#VALUE!</v>
      </c>
      <c r="Z55" t="e">
        <f t="shared" si="84"/>
        <v>#VALUE!</v>
      </c>
      <c r="AA55" t="e">
        <f t="shared" si="85"/>
        <v>#VALUE!</v>
      </c>
      <c r="AB55" t="e">
        <f t="shared" si="86"/>
        <v>#VALUE!</v>
      </c>
      <c r="AC55" t="e">
        <f t="shared" si="87"/>
        <v>#VALUE!</v>
      </c>
      <c r="AD55" t="e">
        <f t="shared" si="88"/>
        <v>#VALUE!</v>
      </c>
      <c r="AE55" s="15" t="e">
        <f t="shared" si="89"/>
        <v>#VALUE!</v>
      </c>
      <c r="AF55" t="e">
        <f t="shared" si="90"/>
        <v>#VALUE!</v>
      </c>
      <c r="AG55" t="e">
        <f t="shared" si="91"/>
        <v>#VALUE!</v>
      </c>
      <c r="AH55" t="e">
        <f t="shared" si="92"/>
        <v>#VALUE!</v>
      </c>
      <c r="AI55" t="e">
        <f t="shared" si="93"/>
        <v>#VALUE!</v>
      </c>
      <c r="AJ55" s="15" t="e">
        <f t="shared" si="94"/>
        <v>#VALUE!</v>
      </c>
      <c r="AK55" t="e">
        <f t="shared" si="95"/>
        <v>#VALUE!</v>
      </c>
      <c r="AL55" t="e">
        <f t="shared" si="96"/>
        <v>#VALUE!</v>
      </c>
      <c r="AM55" t="e">
        <f t="shared" si="97"/>
        <v>#VALUE!</v>
      </c>
      <c r="AN55" t="e">
        <f t="shared" si="98"/>
        <v>#VALUE!</v>
      </c>
      <c r="AO55" s="15" t="e">
        <f t="shared" si="99"/>
        <v>#VALUE!</v>
      </c>
      <c r="AP55" t="e">
        <f t="shared" si="100"/>
        <v>#VALUE!</v>
      </c>
      <c r="AQ55" t="e">
        <f t="shared" si="101"/>
        <v>#VALUE!</v>
      </c>
      <c r="AR55" t="e">
        <f t="shared" si="102"/>
        <v>#VALUE!</v>
      </c>
      <c r="AS55" t="e">
        <f t="shared" si="103"/>
        <v>#VALUE!</v>
      </c>
      <c r="AT55" s="15" t="e">
        <f t="shared" si="104"/>
        <v>#VALUE!</v>
      </c>
      <c r="AU55" t="e">
        <f t="shared" si="105"/>
        <v>#VALUE!</v>
      </c>
      <c r="AW55" t="e">
        <f t="shared" si="70"/>
        <v>#VALUE!</v>
      </c>
      <c r="AX55" s="15" t="e">
        <f t="shared" si="71"/>
        <v>#VALUE!</v>
      </c>
      <c r="AY55" s="15"/>
    </row>
    <row r="56" spans="1:51" ht="12.75">
      <c r="A56" s="1" t="s">
        <v>38</v>
      </c>
      <c r="B56" s="3"/>
      <c r="C56" s="144">
        <f>SUM(C57)</f>
        <v>0.005452080303333637</v>
      </c>
      <c r="D56" s="163"/>
      <c r="E56" s="5">
        <f>SUM(E57)</f>
        <v>23.92338089827362</v>
      </c>
      <c r="F56" s="3"/>
      <c r="G56" s="6">
        <f>SUM(G57)</f>
        <v>1.0210047292600424</v>
      </c>
      <c r="H56" s="226"/>
      <c r="I56" s="226"/>
      <c r="J56" s="13">
        <f t="shared" si="74"/>
        <v>0</v>
      </c>
      <c r="K56" s="148"/>
      <c r="L56" s="133"/>
      <c r="M56" s="133"/>
      <c r="N56" s="133"/>
      <c r="P56" s="15"/>
      <c r="Q56" s="5"/>
      <c r="T56" s="15">
        <f t="shared" si="79"/>
        <v>0</v>
      </c>
      <c r="U56" s="15">
        <f t="shared" si="80"/>
        <v>0</v>
      </c>
      <c r="V56" s="15" t="e">
        <f t="shared" si="69"/>
        <v>#VALUE!</v>
      </c>
      <c r="W56" s="16">
        <f t="shared" si="81"/>
        <v>0</v>
      </c>
      <c r="X56">
        <f t="shared" si="82"/>
        <v>0</v>
      </c>
      <c r="Y56">
        <f t="shared" si="83"/>
        <v>0</v>
      </c>
      <c r="Z56">
        <f t="shared" si="84"/>
        <v>0</v>
      </c>
      <c r="AA56" t="e">
        <f t="shared" si="85"/>
        <v>#VALUE!</v>
      </c>
      <c r="AB56">
        <f t="shared" si="86"/>
        <v>0</v>
      </c>
      <c r="AC56">
        <f t="shared" si="87"/>
        <v>0</v>
      </c>
      <c r="AD56">
        <f t="shared" si="88"/>
        <v>0</v>
      </c>
      <c r="AE56" s="15">
        <f t="shared" si="89"/>
        <v>0</v>
      </c>
      <c r="AF56" t="e">
        <f t="shared" si="90"/>
        <v>#VALUE!</v>
      </c>
      <c r="AG56">
        <f t="shared" si="91"/>
        <v>0</v>
      </c>
      <c r="AH56">
        <f t="shared" si="92"/>
        <v>0</v>
      </c>
      <c r="AI56">
        <f t="shared" si="93"/>
        <v>0</v>
      </c>
      <c r="AJ56" s="15">
        <f t="shared" si="94"/>
        <v>0</v>
      </c>
      <c r="AK56" t="e">
        <f t="shared" si="95"/>
        <v>#VALUE!</v>
      </c>
      <c r="AL56">
        <f t="shared" si="96"/>
        <v>0</v>
      </c>
      <c r="AM56">
        <f t="shared" si="97"/>
        <v>0</v>
      </c>
      <c r="AN56">
        <f t="shared" si="98"/>
        <v>0</v>
      </c>
      <c r="AO56" s="15">
        <f t="shared" si="99"/>
        <v>0</v>
      </c>
      <c r="AP56" t="e">
        <f t="shared" si="100"/>
        <v>#VALUE!</v>
      </c>
      <c r="AQ56">
        <f t="shared" si="101"/>
        <v>0</v>
      </c>
      <c r="AR56">
        <f t="shared" si="102"/>
        <v>0</v>
      </c>
      <c r="AS56">
        <f t="shared" si="103"/>
        <v>0</v>
      </c>
      <c r="AT56" s="15">
        <f t="shared" si="104"/>
        <v>0</v>
      </c>
      <c r="AU56" t="e">
        <f t="shared" si="105"/>
        <v>#VALUE!</v>
      </c>
      <c r="AW56">
        <f t="shared" si="70"/>
        <v>0</v>
      </c>
      <c r="AX56" s="15" t="e">
        <f t="shared" si="71"/>
        <v>#VALUE!</v>
      </c>
      <c r="AY56" s="15" t="e">
        <f>SUM(AW57:AX57)</f>
        <v>#VALUE!</v>
      </c>
    </row>
    <row r="57" spans="1:51" ht="12.75">
      <c r="A57" s="1" t="s">
        <v>39</v>
      </c>
      <c r="B57" s="1" t="s">
        <v>126</v>
      </c>
      <c r="C57" s="144">
        <v>0.005452080303333637</v>
      </c>
      <c r="D57" s="163">
        <v>1.8339977863228643</v>
      </c>
      <c r="E57" s="5">
        <f>F57*$D57</f>
        <v>23.92338089827362</v>
      </c>
      <c r="F57" s="5">
        <v>13.044389189934417</v>
      </c>
      <c r="G57" s="6">
        <f>H57*$D57</f>
        <v>1.0210047292600424</v>
      </c>
      <c r="H57" s="226">
        <v>0.5567099027459244</v>
      </c>
      <c r="I57" s="226">
        <v>0.5567099027459244</v>
      </c>
      <c r="J57" s="13">
        <f t="shared" si="74"/>
        <v>0</v>
      </c>
      <c r="K57" s="148">
        <v>0.005452080303333637</v>
      </c>
      <c r="L57" s="133">
        <v>0.008493584469178521</v>
      </c>
      <c r="M57" s="133">
        <v>117.73592216911426</v>
      </c>
      <c r="N57" s="133">
        <v>0.004167588614480356</v>
      </c>
      <c r="O57" s="15" t="e">
        <f t="shared" si="75"/>
        <v>#VALUE!</v>
      </c>
      <c r="P57" s="15" t="e">
        <f t="shared" si="76"/>
        <v>#VALUE!</v>
      </c>
      <c r="Q57" s="5">
        <v>1.8339977863228643</v>
      </c>
      <c r="R57" s="15" t="e">
        <f t="shared" si="77"/>
        <v>#VALUE!</v>
      </c>
      <c r="S57" s="15" t="e">
        <f t="shared" si="78"/>
        <v>#VALUE!</v>
      </c>
      <c r="T57" s="15" t="e">
        <f t="shared" si="79"/>
        <v>#VALUE!</v>
      </c>
      <c r="U57" s="15" t="e">
        <f t="shared" si="80"/>
        <v>#VALUE!</v>
      </c>
      <c r="V57" s="15" t="e">
        <f t="shared" si="69"/>
        <v>#VALUE!</v>
      </c>
      <c r="W57" s="16" t="e">
        <f t="shared" si="81"/>
        <v>#VALUE!</v>
      </c>
      <c r="X57" t="e">
        <f t="shared" si="82"/>
        <v>#VALUE!</v>
      </c>
      <c r="Y57" t="e">
        <f t="shared" si="83"/>
        <v>#VALUE!</v>
      </c>
      <c r="Z57" t="e">
        <f t="shared" si="84"/>
        <v>#VALUE!</v>
      </c>
      <c r="AA57" t="e">
        <f t="shared" si="85"/>
        <v>#VALUE!</v>
      </c>
      <c r="AB57" t="e">
        <f t="shared" si="86"/>
        <v>#VALUE!</v>
      </c>
      <c r="AC57" t="e">
        <f t="shared" si="87"/>
        <v>#VALUE!</v>
      </c>
      <c r="AD57" t="e">
        <f t="shared" si="88"/>
        <v>#VALUE!</v>
      </c>
      <c r="AE57" s="15" t="e">
        <f t="shared" si="89"/>
        <v>#VALUE!</v>
      </c>
      <c r="AF57" t="e">
        <f t="shared" si="90"/>
        <v>#VALUE!</v>
      </c>
      <c r="AG57" t="e">
        <f t="shared" si="91"/>
        <v>#VALUE!</v>
      </c>
      <c r="AH57" t="e">
        <f t="shared" si="92"/>
        <v>#VALUE!</v>
      </c>
      <c r="AI57" t="e">
        <f t="shared" si="93"/>
        <v>#VALUE!</v>
      </c>
      <c r="AJ57" s="15" t="e">
        <f t="shared" si="94"/>
        <v>#VALUE!</v>
      </c>
      <c r="AK57" t="e">
        <f t="shared" si="95"/>
        <v>#VALUE!</v>
      </c>
      <c r="AL57" t="e">
        <f t="shared" si="96"/>
        <v>#VALUE!</v>
      </c>
      <c r="AM57" t="e">
        <f t="shared" si="97"/>
        <v>#VALUE!</v>
      </c>
      <c r="AN57" t="e">
        <f t="shared" si="98"/>
        <v>#VALUE!</v>
      </c>
      <c r="AO57" s="15" t="e">
        <f t="shared" si="99"/>
        <v>#VALUE!</v>
      </c>
      <c r="AP57" t="e">
        <f t="shared" si="100"/>
        <v>#VALUE!</v>
      </c>
      <c r="AQ57" t="e">
        <f t="shared" si="101"/>
        <v>#VALUE!</v>
      </c>
      <c r="AR57" t="e">
        <f t="shared" si="102"/>
        <v>#VALUE!</v>
      </c>
      <c r="AS57" t="e">
        <f t="shared" si="103"/>
        <v>#VALUE!</v>
      </c>
      <c r="AT57" s="15" t="e">
        <f t="shared" si="104"/>
        <v>#VALUE!</v>
      </c>
      <c r="AU57" t="e">
        <f t="shared" si="105"/>
        <v>#VALUE!</v>
      </c>
      <c r="AW57" t="e">
        <f t="shared" si="70"/>
        <v>#VALUE!</v>
      </c>
      <c r="AX57" s="15" t="e">
        <f t="shared" si="71"/>
        <v>#VALUE!</v>
      </c>
      <c r="AY57" s="15"/>
    </row>
    <row r="58" spans="1:51" ht="12.75">
      <c r="A58" s="1" t="s">
        <v>40</v>
      </c>
      <c r="B58" s="3"/>
      <c r="C58" s="144">
        <f>SUM(C59:C60)</f>
        <v>0.05464866311625817</v>
      </c>
      <c r="D58" s="163"/>
      <c r="E58" s="5">
        <f>SUM(E59:E60)</f>
        <v>384.01608872620886</v>
      </c>
      <c r="F58" s="3"/>
      <c r="G58" s="6" t="e">
        <f>SUM(G59:G60)</f>
        <v>#VALUE!</v>
      </c>
      <c r="H58" s="226"/>
      <c r="I58" s="226"/>
      <c r="J58" s="13">
        <f t="shared" si="74"/>
        <v>0</v>
      </c>
      <c r="K58" s="148"/>
      <c r="L58" s="133"/>
      <c r="M58" s="133"/>
      <c r="N58" s="133"/>
      <c r="P58" s="15"/>
      <c r="Q58" s="5"/>
      <c r="T58" s="15">
        <f t="shared" si="79"/>
        <v>0</v>
      </c>
      <c r="U58" s="15">
        <f t="shared" si="80"/>
        <v>0</v>
      </c>
      <c r="V58" s="15" t="e">
        <f t="shared" si="69"/>
        <v>#VALUE!</v>
      </c>
      <c r="W58" s="16">
        <f t="shared" si="81"/>
        <v>0</v>
      </c>
      <c r="X58">
        <f t="shared" si="82"/>
        <v>0</v>
      </c>
      <c r="Y58">
        <f t="shared" si="83"/>
        <v>0</v>
      </c>
      <c r="Z58">
        <f t="shared" si="84"/>
        <v>0</v>
      </c>
      <c r="AA58" t="e">
        <f t="shared" si="85"/>
        <v>#VALUE!</v>
      </c>
      <c r="AB58">
        <f t="shared" si="86"/>
        <v>0</v>
      </c>
      <c r="AC58">
        <f t="shared" si="87"/>
        <v>0</v>
      </c>
      <c r="AD58">
        <f t="shared" si="88"/>
        <v>0</v>
      </c>
      <c r="AE58" s="15">
        <f t="shared" si="89"/>
        <v>0</v>
      </c>
      <c r="AF58" t="e">
        <f t="shared" si="90"/>
        <v>#VALUE!</v>
      </c>
      <c r="AG58">
        <f t="shared" si="91"/>
        <v>0</v>
      </c>
      <c r="AH58">
        <f t="shared" si="92"/>
        <v>0</v>
      </c>
      <c r="AI58">
        <f t="shared" si="93"/>
        <v>0</v>
      </c>
      <c r="AJ58" s="15">
        <f t="shared" si="94"/>
        <v>0</v>
      </c>
      <c r="AK58" t="e">
        <f t="shared" si="95"/>
        <v>#VALUE!</v>
      </c>
      <c r="AL58">
        <f t="shared" si="96"/>
        <v>0</v>
      </c>
      <c r="AM58">
        <f t="shared" si="97"/>
        <v>0</v>
      </c>
      <c r="AN58">
        <f t="shared" si="98"/>
        <v>0</v>
      </c>
      <c r="AO58" s="15">
        <f t="shared" si="99"/>
        <v>0</v>
      </c>
      <c r="AP58" t="e">
        <f t="shared" si="100"/>
        <v>#VALUE!</v>
      </c>
      <c r="AQ58">
        <f t="shared" si="101"/>
        <v>0</v>
      </c>
      <c r="AR58">
        <f t="shared" si="102"/>
        <v>0</v>
      </c>
      <c r="AS58">
        <f t="shared" si="103"/>
        <v>0</v>
      </c>
      <c r="AT58" s="15">
        <f t="shared" si="104"/>
        <v>0</v>
      </c>
      <c r="AU58" t="e">
        <f t="shared" si="105"/>
        <v>#VALUE!</v>
      </c>
      <c r="AW58">
        <f t="shared" si="70"/>
        <v>0</v>
      </c>
      <c r="AX58" s="15" t="e">
        <f t="shared" si="71"/>
        <v>#VALUE!</v>
      </c>
      <c r="AY58" s="15" t="e">
        <f>SUM(AW59:AX60)</f>
        <v>#VALUE!</v>
      </c>
    </row>
    <row r="59" spans="1:51" ht="12.75">
      <c r="A59" s="1" t="s">
        <v>235</v>
      </c>
      <c r="B59" s="1" t="s">
        <v>125</v>
      </c>
      <c r="C59" s="144">
        <v>0.0351290457930916</v>
      </c>
      <c r="D59" s="163">
        <v>11.816882480760842</v>
      </c>
      <c r="E59" s="5">
        <f>F59*$D59</f>
        <v>71.01638060422005</v>
      </c>
      <c r="F59" s="5">
        <v>6.00973909318658</v>
      </c>
      <c r="G59" s="6" t="e">
        <f>H59*$D59</f>
        <v>#VALUE!</v>
      </c>
      <c r="H59" s="227" t="s">
        <v>363</v>
      </c>
      <c r="I59" s="227" t="s">
        <v>363</v>
      </c>
      <c r="J59" s="13" t="e">
        <f t="shared" si="74"/>
        <v>#VALUE!</v>
      </c>
      <c r="K59" s="148">
        <v>0.0351290457930916</v>
      </c>
      <c r="L59" s="133">
        <v>0.05472617811275206</v>
      </c>
      <c r="M59" s="133">
        <v>18.27279072804436</v>
      </c>
      <c r="N59" s="133">
        <v>0.0006468159690769151</v>
      </c>
      <c r="O59" s="15" t="e">
        <f t="shared" si="75"/>
        <v>#VALUE!</v>
      </c>
      <c r="P59" s="15" t="e">
        <f t="shared" si="76"/>
        <v>#VALUE!</v>
      </c>
      <c r="Q59" s="5">
        <v>11.816882480760842</v>
      </c>
      <c r="R59" s="15" t="e">
        <f t="shared" si="77"/>
        <v>#VALUE!</v>
      </c>
      <c r="S59" s="15" t="e">
        <f t="shared" si="78"/>
        <v>#VALUE!</v>
      </c>
      <c r="T59" s="15" t="e">
        <f t="shared" si="79"/>
        <v>#VALUE!</v>
      </c>
      <c r="U59" s="15" t="e">
        <f t="shared" si="80"/>
        <v>#VALUE!</v>
      </c>
      <c r="V59" s="15" t="e">
        <f t="shared" si="69"/>
        <v>#VALUE!</v>
      </c>
      <c r="W59" s="16" t="e">
        <f t="shared" si="81"/>
        <v>#VALUE!</v>
      </c>
      <c r="X59" t="e">
        <f t="shared" si="82"/>
        <v>#VALUE!</v>
      </c>
      <c r="Y59" t="e">
        <f t="shared" si="83"/>
        <v>#VALUE!</v>
      </c>
      <c r="Z59" t="e">
        <f t="shared" si="84"/>
        <v>#VALUE!</v>
      </c>
      <c r="AA59" t="e">
        <f t="shared" si="85"/>
        <v>#VALUE!</v>
      </c>
      <c r="AB59" t="e">
        <f t="shared" si="86"/>
        <v>#VALUE!</v>
      </c>
      <c r="AC59" t="e">
        <f t="shared" si="87"/>
        <v>#VALUE!</v>
      </c>
      <c r="AD59" t="e">
        <f t="shared" si="88"/>
        <v>#VALUE!</v>
      </c>
      <c r="AE59" s="15" t="e">
        <f t="shared" si="89"/>
        <v>#VALUE!</v>
      </c>
      <c r="AF59" t="e">
        <f t="shared" si="90"/>
        <v>#VALUE!</v>
      </c>
      <c r="AG59" t="e">
        <f t="shared" si="91"/>
        <v>#VALUE!</v>
      </c>
      <c r="AH59" t="e">
        <f t="shared" si="92"/>
        <v>#VALUE!</v>
      </c>
      <c r="AI59" t="e">
        <f t="shared" si="93"/>
        <v>#VALUE!</v>
      </c>
      <c r="AJ59" s="15" t="e">
        <f t="shared" si="94"/>
        <v>#VALUE!</v>
      </c>
      <c r="AK59" t="e">
        <f t="shared" si="95"/>
        <v>#VALUE!</v>
      </c>
      <c r="AL59" t="e">
        <f t="shared" si="96"/>
        <v>#VALUE!</v>
      </c>
      <c r="AM59" t="e">
        <f t="shared" si="97"/>
        <v>#VALUE!</v>
      </c>
      <c r="AN59" t="e">
        <f t="shared" si="98"/>
        <v>#VALUE!</v>
      </c>
      <c r="AO59" s="15" t="e">
        <f t="shared" si="99"/>
        <v>#VALUE!</v>
      </c>
      <c r="AP59" t="e">
        <f t="shared" si="100"/>
        <v>#VALUE!</v>
      </c>
      <c r="AQ59" t="e">
        <f t="shared" si="101"/>
        <v>#VALUE!</v>
      </c>
      <c r="AR59" t="e">
        <f t="shared" si="102"/>
        <v>#VALUE!</v>
      </c>
      <c r="AS59" t="e">
        <f t="shared" si="103"/>
        <v>#VALUE!</v>
      </c>
      <c r="AT59" s="15" t="e">
        <f t="shared" si="104"/>
        <v>#VALUE!</v>
      </c>
      <c r="AU59" t="e">
        <f t="shared" si="105"/>
        <v>#VALUE!</v>
      </c>
      <c r="AW59" t="e">
        <f t="shared" si="70"/>
        <v>#VALUE!</v>
      </c>
      <c r="AX59" s="15" t="e">
        <f t="shared" si="71"/>
        <v>#VALUE!</v>
      </c>
      <c r="AY59" s="15"/>
    </row>
    <row r="60" spans="1:51" ht="12.75">
      <c r="A60" s="1" t="s">
        <v>41</v>
      </c>
      <c r="B60" s="1" t="s">
        <v>127</v>
      </c>
      <c r="C60" s="144">
        <v>0.01951961732316657</v>
      </c>
      <c r="D60" s="163">
        <v>6.566105590680297</v>
      </c>
      <c r="E60" s="5">
        <f>F60*$D60</f>
        <v>312.9997081219888</v>
      </c>
      <c r="F60" s="5">
        <v>47.66900315557669</v>
      </c>
      <c r="G60" s="6">
        <f>H60*$D60</f>
        <v>9.879192063380104</v>
      </c>
      <c r="H60" s="226">
        <v>1.50457404727123</v>
      </c>
      <c r="I60" s="226">
        <v>1.50457404727123</v>
      </c>
      <c r="J60" s="13">
        <f>I60-H60</f>
        <v>0</v>
      </c>
      <c r="K60" s="148">
        <v>0.01951961732316657</v>
      </c>
      <c r="L60" s="133">
        <v>0.03040885484371599</v>
      </c>
      <c r="M60" s="133">
        <v>32.885158127112135</v>
      </c>
      <c r="N60" s="133">
        <v>0.001164061129950461</v>
      </c>
      <c r="O60" s="15" t="e">
        <f>N60*$O$7</f>
        <v>#VALUE!</v>
      </c>
      <c r="P60" s="15" t="e">
        <f>O60/I60</f>
        <v>#VALUE!</v>
      </c>
      <c r="Q60" s="5">
        <v>6.566105590680297</v>
      </c>
      <c r="R60" s="15" t="e">
        <f aca="true" t="shared" si="106" ref="R60:R73">IF(P60&lt;Q60,P60*H60,0)</f>
        <v>#VALUE!</v>
      </c>
      <c r="S60" s="15" t="e">
        <f aca="true" t="shared" si="107" ref="S60:S73">IF(P60&lt;Q60,P50:P60,0)</f>
        <v>#VALUE!</v>
      </c>
      <c r="T60" s="15" t="e">
        <f aca="true" t="shared" si="108" ref="T60:T75">IF(S60=0,Q60*I60,0)</f>
        <v>#VALUE!</v>
      </c>
      <c r="U60" s="15" t="e">
        <f aca="true" t="shared" si="109" ref="U60:U75">IF(S60=0,0,S60*I60)</f>
        <v>#VALUE!</v>
      </c>
      <c r="V60" s="15" t="e">
        <f t="shared" si="69"/>
        <v>#VALUE!</v>
      </c>
      <c r="W60" s="16" t="e">
        <f aca="true" t="shared" si="110" ref="W60:W75">IF(I60=0,0,V60/I60)</f>
        <v>#VALUE!</v>
      </c>
      <c r="X60" t="e">
        <f aca="true" t="shared" si="111" ref="X60:X75">IF(W60&lt;Q60,W60,0)</f>
        <v>#VALUE!</v>
      </c>
      <c r="Y60" t="e">
        <f aca="true" t="shared" si="112" ref="Y60:Y75">IF(X60=0,Q60*I60,0)</f>
        <v>#VALUE!</v>
      </c>
      <c r="Z60" t="e">
        <f aca="true" t="shared" si="113" ref="Z60:Z75">IF(X60=0,0,I60*X60)</f>
        <v>#VALUE!</v>
      </c>
      <c r="AA60" t="e">
        <f aca="true" t="shared" si="114" ref="AA60:AA75">$AA$7/$Z$7*Z60</f>
        <v>#VALUE!</v>
      </c>
      <c r="AB60" t="e">
        <f aca="true" t="shared" si="115" ref="AB60:AB75">IF(I60=0,0,AA60/I60)</f>
        <v>#VALUE!</v>
      </c>
      <c r="AC60" t="e">
        <f aca="true" t="shared" si="116" ref="AC60:AC75">IF(AB60&lt;Q60,AB60,0)</f>
        <v>#VALUE!</v>
      </c>
      <c r="AD60" t="e">
        <f aca="true" t="shared" si="117" ref="AD60:AD75">IF(AC60=0,$Q60*$I60,0)</f>
        <v>#VALUE!</v>
      </c>
      <c r="AE60" s="15" t="e">
        <f aca="true" t="shared" si="118" ref="AE60:AE75">IF(AC60=0,0,AC60*$I60)</f>
        <v>#VALUE!</v>
      </c>
      <c r="AF60" t="e">
        <f aca="true" t="shared" si="119" ref="AF60:AF75">$AF$7/$AE$7*AE60</f>
        <v>#VALUE!</v>
      </c>
      <c r="AG60" t="e">
        <f aca="true" t="shared" si="120" ref="AG60:AG75">IF($I60=0,0,AF60/$I60)</f>
        <v>#VALUE!</v>
      </c>
      <c r="AH60" t="e">
        <f aca="true" t="shared" si="121" ref="AH60:AH75">IF(AG60&lt;$Q60,AG60,0)</f>
        <v>#VALUE!</v>
      </c>
      <c r="AI60" t="e">
        <f aca="true" t="shared" si="122" ref="AI60:AI75">IF(AH60=0,$Q60*$I60,0)</f>
        <v>#VALUE!</v>
      </c>
      <c r="AJ60" s="15" t="e">
        <f aca="true" t="shared" si="123" ref="AJ60:AJ75">IF(AH60=0,0,AH60*$I60)</f>
        <v>#VALUE!</v>
      </c>
      <c r="AK60" t="e">
        <f aca="true" t="shared" si="124" ref="AK60:AK75">$AK$7/$AJ$7*AJ60</f>
        <v>#VALUE!</v>
      </c>
      <c r="AL60" t="e">
        <f aca="true" t="shared" si="125" ref="AL60:AL75">IF($I60=0,0,AK60/$I60)</f>
        <v>#VALUE!</v>
      </c>
      <c r="AM60" t="e">
        <f aca="true" t="shared" si="126" ref="AM60:AM75">IF(AL60&lt;$Q60,AL60,0)</f>
        <v>#VALUE!</v>
      </c>
      <c r="AN60" t="e">
        <f aca="true" t="shared" si="127" ref="AN60:AN75">IF(AM60=0,$Q60*$I60,0)</f>
        <v>#VALUE!</v>
      </c>
      <c r="AO60" s="15" t="e">
        <f aca="true" t="shared" si="128" ref="AO60:AO75">IF(AM60=0,0,AM60*$I60)</f>
        <v>#VALUE!</v>
      </c>
      <c r="AP60" t="e">
        <f aca="true" t="shared" si="129" ref="AP60:AP75">$AP$7/$AO$7*AO60</f>
        <v>#VALUE!</v>
      </c>
      <c r="AQ60" t="e">
        <f aca="true" t="shared" si="130" ref="AQ60:AQ75">IF($I60=0,0,AP60/$I60)</f>
        <v>#VALUE!</v>
      </c>
      <c r="AR60" t="e">
        <f aca="true" t="shared" si="131" ref="AR60:AR75">IF(AQ60&lt;$Q60,AQ60,0)</f>
        <v>#VALUE!</v>
      </c>
      <c r="AS60" t="e">
        <f aca="true" t="shared" si="132" ref="AS60:AS75">IF(AR60=0,$Q60*$I60,0)</f>
        <v>#VALUE!</v>
      </c>
      <c r="AT60" s="15" t="e">
        <f aca="true" t="shared" si="133" ref="AT60:AT75">IF(AR60=0,0,AR60*$I60)</f>
        <v>#VALUE!</v>
      </c>
      <c r="AU60" t="e">
        <f aca="true" t="shared" si="134" ref="AU60:AU75">$AU$7/$AT$7*AT60</f>
        <v>#VALUE!</v>
      </c>
      <c r="AW60" t="e">
        <f t="shared" si="70"/>
        <v>#VALUE!</v>
      </c>
      <c r="AX60" s="15" t="e">
        <f t="shared" si="71"/>
        <v>#VALUE!</v>
      </c>
      <c r="AY60" s="15"/>
    </row>
    <row r="61" spans="1:51" ht="12.75">
      <c r="A61" s="1" t="s">
        <v>42</v>
      </c>
      <c r="B61" s="3"/>
      <c r="C61" s="144">
        <f>(C62+C63+C66+C71)</f>
        <v>0.041645631899055326</v>
      </c>
      <c r="D61" s="163"/>
      <c r="E61" s="5">
        <f>(E62+E63+E66+E71)</f>
        <v>2348.643616306213</v>
      </c>
      <c r="F61" s="3"/>
      <c r="G61" s="6">
        <f>(G62+G63+G66+G71)</f>
        <v>139.72528738309214</v>
      </c>
      <c r="H61" s="226"/>
      <c r="I61" s="226"/>
      <c r="J61" s="13">
        <f>I61-H61</f>
        <v>0</v>
      </c>
      <c r="K61" s="148"/>
      <c r="L61" s="133"/>
      <c r="M61" s="133"/>
      <c r="N61" s="133"/>
      <c r="Q61" s="5"/>
      <c r="T61" s="15">
        <f t="shared" si="108"/>
        <v>0</v>
      </c>
      <c r="U61" s="15">
        <f t="shared" si="109"/>
        <v>0</v>
      </c>
      <c r="V61" s="15" t="e">
        <f t="shared" si="69"/>
        <v>#VALUE!</v>
      </c>
      <c r="W61" s="16">
        <f t="shared" si="110"/>
        <v>0</v>
      </c>
      <c r="X61">
        <f t="shared" si="111"/>
        <v>0</v>
      </c>
      <c r="Y61">
        <f t="shared" si="112"/>
        <v>0</v>
      </c>
      <c r="Z61">
        <f t="shared" si="113"/>
        <v>0</v>
      </c>
      <c r="AA61" t="e">
        <f t="shared" si="114"/>
        <v>#VALUE!</v>
      </c>
      <c r="AB61">
        <f t="shared" si="115"/>
        <v>0</v>
      </c>
      <c r="AC61">
        <f t="shared" si="116"/>
        <v>0</v>
      </c>
      <c r="AD61">
        <f t="shared" si="117"/>
        <v>0</v>
      </c>
      <c r="AE61" s="15">
        <f t="shared" si="118"/>
        <v>0</v>
      </c>
      <c r="AF61" t="e">
        <f t="shared" si="119"/>
        <v>#VALUE!</v>
      </c>
      <c r="AG61">
        <f t="shared" si="120"/>
        <v>0</v>
      </c>
      <c r="AH61">
        <f t="shared" si="121"/>
        <v>0</v>
      </c>
      <c r="AI61">
        <f t="shared" si="122"/>
        <v>0</v>
      </c>
      <c r="AJ61" s="15">
        <f t="shared" si="123"/>
        <v>0</v>
      </c>
      <c r="AK61" t="e">
        <f t="shared" si="124"/>
        <v>#VALUE!</v>
      </c>
      <c r="AL61">
        <f t="shared" si="125"/>
        <v>0</v>
      </c>
      <c r="AM61">
        <f t="shared" si="126"/>
        <v>0</v>
      </c>
      <c r="AN61">
        <f t="shared" si="127"/>
        <v>0</v>
      </c>
      <c r="AO61" s="15">
        <f t="shared" si="128"/>
        <v>0</v>
      </c>
      <c r="AP61" t="e">
        <f t="shared" si="129"/>
        <v>#VALUE!</v>
      </c>
      <c r="AQ61">
        <f t="shared" si="130"/>
        <v>0</v>
      </c>
      <c r="AR61">
        <f t="shared" si="131"/>
        <v>0</v>
      </c>
      <c r="AS61">
        <f t="shared" si="132"/>
        <v>0</v>
      </c>
      <c r="AT61" s="15">
        <f t="shared" si="133"/>
        <v>0</v>
      </c>
      <c r="AU61" t="e">
        <f t="shared" si="134"/>
        <v>#VALUE!</v>
      </c>
      <c r="AW61">
        <f t="shared" si="70"/>
        <v>0</v>
      </c>
      <c r="AX61" s="15" t="e">
        <f t="shared" si="71"/>
        <v>#VALUE!</v>
      </c>
      <c r="AY61" s="15" t="e">
        <f>SUM(AY62+AY63+AY66+AY71)</f>
        <v>#VALUE!</v>
      </c>
    </row>
    <row r="62" spans="1:51" ht="12.75">
      <c r="A62" s="150" t="s">
        <v>128</v>
      </c>
      <c r="B62" s="1" t="s">
        <v>129</v>
      </c>
      <c r="C62" s="144">
        <v>0.0029727845605882486</v>
      </c>
      <c r="D62" s="163">
        <v>1</v>
      </c>
      <c r="E62" s="5">
        <f>F62*$D62</f>
        <v>1765.79</v>
      </c>
      <c r="F62" s="7">
        <v>1765.79</v>
      </c>
      <c r="G62" s="6">
        <f>H62*$D62</f>
        <v>108.01075978255282</v>
      </c>
      <c r="H62" s="226">
        <v>108.01075978255282</v>
      </c>
      <c r="I62" s="226">
        <v>108.01075978255282</v>
      </c>
      <c r="J62" s="13">
        <f aca="true" t="shared" si="135" ref="J62:J75">I62-H62</f>
        <v>0</v>
      </c>
      <c r="K62" s="148"/>
      <c r="L62" s="133"/>
      <c r="M62" s="133"/>
      <c r="N62" s="133"/>
      <c r="Q62" s="5"/>
      <c r="T62" s="15">
        <f t="shared" si="108"/>
        <v>0</v>
      </c>
      <c r="U62" s="15">
        <f t="shared" si="109"/>
        <v>0</v>
      </c>
      <c r="V62" s="15" t="e">
        <f t="shared" si="69"/>
        <v>#VALUE!</v>
      </c>
      <c r="W62" s="16" t="e">
        <f t="shared" si="110"/>
        <v>#VALUE!</v>
      </c>
      <c r="X62" t="e">
        <f t="shared" si="111"/>
        <v>#VALUE!</v>
      </c>
      <c r="Y62" t="e">
        <f t="shared" si="112"/>
        <v>#VALUE!</v>
      </c>
      <c r="Z62" t="e">
        <f t="shared" si="113"/>
        <v>#VALUE!</v>
      </c>
      <c r="AA62" t="e">
        <f t="shared" si="114"/>
        <v>#VALUE!</v>
      </c>
      <c r="AB62" t="e">
        <f t="shared" si="115"/>
        <v>#VALUE!</v>
      </c>
      <c r="AC62" t="e">
        <f t="shared" si="116"/>
        <v>#VALUE!</v>
      </c>
      <c r="AD62" t="e">
        <f t="shared" si="117"/>
        <v>#VALUE!</v>
      </c>
      <c r="AE62" s="15" t="e">
        <f t="shared" si="118"/>
        <v>#VALUE!</v>
      </c>
      <c r="AF62" t="e">
        <f t="shared" si="119"/>
        <v>#VALUE!</v>
      </c>
      <c r="AG62" t="e">
        <f t="shared" si="120"/>
        <v>#VALUE!</v>
      </c>
      <c r="AH62" t="e">
        <f t="shared" si="121"/>
        <v>#VALUE!</v>
      </c>
      <c r="AI62" t="e">
        <f t="shared" si="122"/>
        <v>#VALUE!</v>
      </c>
      <c r="AJ62" s="15" t="e">
        <f t="shared" si="123"/>
        <v>#VALUE!</v>
      </c>
      <c r="AK62" t="e">
        <f t="shared" si="124"/>
        <v>#VALUE!</v>
      </c>
      <c r="AL62" t="e">
        <f t="shared" si="125"/>
        <v>#VALUE!</v>
      </c>
      <c r="AM62" t="e">
        <f t="shared" si="126"/>
        <v>#VALUE!</v>
      </c>
      <c r="AN62" t="e">
        <f t="shared" si="127"/>
        <v>#VALUE!</v>
      </c>
      <c r="AO62" s="15" t="e">
        <f t="shared" si="128"/>
        <v>#VALUE!</v>
      </c>
      <c r="AP62" t="e">
        <f t="shared" si="129"/>
        <v>#VALUE!</v>
      </c>
      <c r="AQ62" t="e">
        <f t="shared" si="130"/>
        <v>#VALUE!</v>
      </c>
      <c r="AR62" t="e">
        <f t="shared" si="131"/>
        <v>#VALUE!</v>
      </c>
      <c r="AS62" t="e">
        <f t="shared" si="132"/>
        <v>#VALUE!</v>
      </c>
      <c r="AT62" s="15" t="e">
        <f t="shared" si="133"/>
        <v>#VALUE!</v>
      </c>
      <c r="AU62" t="e">
        <f t="shared" si="134"/>
        <v>#VALUE!</v>
      </c>
      <c r="AW62" t="e">
        <f t="shared" si="70"/>
        <v>#VALUE!</v>
      </c>
      <c r="AX62" s="15" t="e">
        <f t="shared" si="71"/>
        <v>#VALUE!</v>
      </c>
      <c r="AY62" s="18" t="e">
        <f>SUM(AW62:AX62)</f>
        <v>#VALUE!</v>
      </c>
    </row>
    <row r="63" spans="1:51" ht="12.75">
      <c r="A63" s="1" t="s">
        <v>44</v>
      </c>
      <c r="B63" s="3"/>
      <c r="C63" s="144">
        <f>SUM(C64:C65)</f>
        <v>0.0056364487476519625</v>
      </c>
      <c r="D63" s="163"/>
      <c r="E63" s="5">
        <f>SUM(E64:E65)</f>
        <v>348.464</v>
      </c>
      <c r="F63" s="3"/>
      <c r="G63" s="6">
        <f>SUM(G64:G65)</f>
        <v>19.707393343031004</v>
      </c>
      <c r="H63" s="226"/>
      <c r="I63" s="226"/>
      <c r="J63" s="13">
        <f t="shared" si="135"/>
        <v>0</v>
      </c>
      <c r="K63" s="148"/>
      <c r="L63" s="133"/>
      <c r="M63" s="133"/>
      <c r="N63" s="133"/>
      <c r="Q63" s="5"/>
      <c r="T63" s="15">
        <f t="shared" si="108"/>
        <v>0</v>
      </c>
      <c r="U63" s="15">
        <f t="shared" si="109"/>
        <v>0</v>
      </c>
      <c r="V63" s="15" t="e">
        <f t="shared" si="69"/>
        <v>#VALUE!</v>
      </c>
      <c r="W63" s="16">
        <f t="shared" si="110"/>
        <v>0</v>
      </c>
      <c r="X63">
        <f t="shared" si="111"/>
        <v>0</v>
      </c>
      <c r="Y63">
        <f t="shared" si="112"/>
        <v>0</v>
      </c>
      <c r="Z63">
        <f t="shared" si="113"/>
        <v>0</v>
      </c>
      <c r="AA63" t="e">
        <f t="shared" si="114"/>
        <v>#VALUE!</v>
      </c>
      <c r="AB63">
        <f t="shared" si="115"/>
        <v>0</v>
      </c>
      <c r="AC63">
        <f t="shared" si="116"/>
        <v>0</v>
      </c>
      <c r="AD63">
        <f t="shared" si="117"/>
        <v>0</v>
      </c>
      <c r="AE63" s="15">
        <f t="shared" si="118"/>
        <v>0</v>
      </c>
      <c r="AF63" t="e">
        <f t="shared" si="119"/>
        <v>#VALUE!</v>
      </c>
      <c r="AG63">
        <f t="shared" si="120"/>
        <v>0</v>
      </c>
      <c r="AH63">
        <f t="shared" si="121"/>
        <v>0</v>
      </c>
      <c r="AI63">
        <f t="shared" si="122"/>
        <v>0</v>
      </c>
      <c r="AJ63" s="15">
        <f t="shared" si="123"/>
        <v>0</v>
      </c>
      <c r="AK63" t="e">
        <f t="shared" si="124"/>
        <v>#VALUE!</v>
      </c>
      <c r="AL63">
        <f t="shared" si="125"/>
        <v>0</v>
      </c>
      <c r="AM63">
        <f t="shared" si="126"/>
        <v>0</v>
      </c>
      <c r="AN63">
        <f t="shared" si="127"/>
        <v>0</v>
      </c>
      <c r="AO63" s="15">
        <f t="shared" si="128"/>
        <v>0</v>
      </c>
      <c r="AP63" t="e">
        <f t="shared" si="129"/>
        <v>#VALUE!</v>
      </c>
      <c r="AQ63">
        <f t="shared" si="130"/>
        <v>0</v>
      </c>
      <c r="AR63">
        <f t="shared" si="131"/>
        <v>0</v>
      </c>
      <c r="AS63">
        <f t="shared" si="132"/>
        <v>0</v>
      </c>
      <c r="AT63" s="15">
        <f t="shared" si="133"/>
        <v>0</v>
      </c>
      <c r="AU63" t="e">
        <f t="shared" si="134"/>
        <v>#VALUE!</v>
      </c>
      <c r="AW63">
        <f t="shared" si="70"/>
        <v>0</v>
      </c>
      <c r="AX63" s="15" t="e">
        <f t="shared" si="71"/>
        <v>#VALUE!</v>
      </c>
      <c r="AY63" s="18" t="e">
        <f>SUM(AW64:AX65)</f>
        <v>#VALUE!</v>
      </c>
    </row>
    <row r="64" spans="1:51" ht="12.75">
      <c r="A64" s="150" t="s">
        <v>259</v>
      </c>
      <c r="B64" s="8" t="s">
        <v>130</v>
      </c>
      <c r="C64" s="145">
        <v>0.0023782136112922765</v>
      </c>
      <c r="D64" s="164">
        <v>0.7999952781044046</v>
      </c>
      <c r="E64" s="5">
        <f>F64*$D64</f>
        <v>173.648</v>
      </c>
      <c r="F64" s="10">
        <v>217.06128117588437</v>
      </c>
      <c r="G64" s="6">
        <f>H64*$D64</f>
        <v>17.845670084716353</v>
      </c>
      <c r="H64" s="226">
        <v>22.30721927134597</v>
      </c>
      <c r="I64" s="226">
        <v>22.30721927134597</v>
      </c>
      <c r="J64" s="13">
        <f t="shared" si="135"/>
        <v>0</v>
      </c>
      <c r="K64" s="149"/>
      <c r="L64" s="133"/>
      <c r="M64" s="133"/>
      <c r="N64" s="133"/>
      <c r="Q64" s="10"/>
      <c r="R64" s="15">
        <f t="shared" si="106"/>
        <v>0</v>
      </c>
      <c r="S64" s="15">
        <f t="shared" si="107"/>
        <v>0</v>
      </c>
      <c r="T64" s="15">
        <f t="shared" si="108"/>
        <v>0</v>
      </c>
      <c r="U64" s="15">
        <f t="shared" si="109"/>
        <v>0</v>
      </c>
      <c r="V64" s="15" t="e">
        <f t="shared" si="69"/>
        <v>#VALUE!</v>
      </c>
      <c r="W64" s="16" t="e">
        <f t="shared" si="110"/>
        <v>#VALUE!</v>
      </c>
      <c r="X64" t="e">
        <f t="shared" si="111"/>
        <v>#VALUE!</v>
      </c>
      <c r="Y64" t="e">
        <f t="shared" si="112"/>
        <v>#VALUE!</v>
      </c>
      <c r="Z64" t="e">
        <f t="shared" si="113"/>
        <v>#VALUE!</v>
      </c>
      <c r="AA64" t="e">
        <f t="shared" si="114"/>
        <v>#VALUE!</v>
      </c>
      <c r="AB64" t="e">
        <f t="shared" si="115"/>
        <v>#VALUE!</v>
      </c>
      <c r="AC64" t="e">
        <f t="shared" si="116"/>
        <v>#VALUE!</v>
      </c>
      <c r="AD64" t="e">
        <f t="shared" si="117"/>
        <v>#VALUE!</v>
      </c>
      <c r="AE64" s="15" t="e">
        <f t="shared" si="118"/>
        <v>#VALUE!</v>
      </c>
      <c r="AF64" t="e">
        <f t="shared" si="119"/>
        <v>#VALUE!</v>
      </c>
      <c r="AG64" t="e">
        <f t="shared" si="120"/>
        <v>#VALUE!</v>
      </c>
      <c r="AH64" t="e">
        <f t="shared" si="121"/>
        <v>#VALUE!</v>
      </c>
      <c r="AI64" t="e">
        <f t="shared" si="122"/>
        <v>#VALUE!</v>
      </c>
      <c r="AJ64" s="15" t="e">
        <f t="shared" si="123"/>
        <v>#VALUE!</v>
      </c>
      <c r="AK64" t="e">
        <f t="shared" si="124"/>
        <v>#VALUE!</v>
      </c>
      <c r="AL64" t="e">
        <f t="shared" si="125"/>
        <v>#VALUE!</v>
      </c>
      <c r="AM64" t="e">
        <f t="shared" si="126"/>
        <v>#VALUE!</v>
      </c>
      <c r="AN64" t="e">
        <f t="shared" si="127"/>
        <v>#VALUE!</v>
      </c>
      <c r="AO64" s="15" t="e">
        <f t="shared" si="128"/>
        <v>#VALUE!</v>
      </c>
      <c r="AP64" t="e">
        <f t="shared" si="129"/>
        <v>#VALUE!</v>
      </c>
      <c r="AQ64" t="e">
        <f t="shared" si="130"/>
        <v>#VALUE!</v>
      </c>
      <c r="AR64" t="e">
        <f t="shared" si="131"/>
        <v>#VALUE!</v>
      </c>
      <c r="AS64" t="e">
        <f t="shared" si="132"/>
        <v>#VALUE!</v>
      </c>
      <c r="AT64" s="15" t="e">
        <f t="shared" si="133"/>
        <v>#VALUE!</v>
      </c>
      <c r="AU64" t="e">
        <f t="shared" si="134"/>
        <v>#VALUE!</v>
      </c>
      <c r="AW64" t="e">
        <f t="shared" si="70"/>
        <v>#VALUE!</v>
      </c>
      <c r="AX64" s="15" t="e">
        <f t="shared" si="71"/>
        <v>#VALUE!</v>
      </c>
      <c r="AY64" s="15">
        <v>0</v>
      </c>
    </row>
    <row r="65" spans="1:51" ht="12.75">
      <c r="A65" s="150" t="s">
        <v>45</v>
      </c>
      <c r="B65" s="8" t="s">
        <v>131</v>
      </c>
      <c r="C65" s="145">
        <v>0.003258235136359686</v>
      </c>
      <c r="D65" s="164">
        <v>1.096021279024321</v>
      </c>
      <c r="E65" s="5">
        <f>F65*$D65</f>
        <v>174.816</v>
      </c>
      <c r="F65" s="10">
        <v>159.5005529049777</v>
      </c>
      <c r="G65" s="6">
        <f>H65*$D65</f>
        <v>1.8617232583146504</v>
      </c>
      <c r="H65" s="226">
        <v>1.69861962896556</v>
      </c>
      <c r="I65" s="226">
        <v>1.69861962896556</v>
      </c>
      <c r="J65" s="13">
        <f t="shared" si="135"/>
        <v>0</v>
      </c>
      <c r="K65" s="149"/>
      <c r="L65" s="133"/>
      <c r="M65" s="133"/>
      <c r="N65" s="133"/>
      <c r="Q65" s="10"/>
      <c r="R65" s="15">
        <f t="shared" si="106"/>
        <v>0</v>
      </c>
      <c r="S65" s="15">
        <f t="shared" si="107"/>
        <v>0</v>
      </c>
      <c r="T65" s="15">
        <f t="shared" si="108"/>
        <v>0</v>
      </c>
      <c r="U65" s="15">
        <f t="shared" si="109"/>
        <v>0</v>
      </c>
      <c r="V65" s="15" t="e">
        <f t="shared" si="69"/>
        <v>#VALUE!</v>
      </c>
      <c r="W65" s="16" t="e">
        <f t="shared" si="110"/>
        <v>#VALUE!</v>
      </c>
      <c r="X65" t="e">
        <f t="shared" si="111"/>
        <v>#VALUE!</v>
      </c>
      <c r="Y65" t="e">
        <f t="shared" si="112"/>
        <v>#VALUE!</v>
      </c>
      <c r="Z65" t="e">
        <f t="shared" si="113"/>
        <v>#VALUE!</v>
      </c>
      <c r="AA65" t="e">
        <f t="shared" si="114"/>
        <v>#VALUE!</v>
      </c>
      <c r="AB65" t="e">
        <f t="shared" si="115"/>
        <v>#VALUE!</v>
      </c>
      <c r="AC65" t="e">
        <f t="shared" si="116"/>
        <v>#VALUE!</v>
      </c>
      <c r="AD65" t="e">
        <f t="shared" si="117"/>
        <v>#VALUE!</v>
      </c>
      <c r="AE65" s="15" t="e">
        <f t="shared" si="118"/>
        <v>#VALUE!</v>
      </c>
      <c r="AF65" t="e">
        <f t="shared" si="119"/>
        <v>#VALUE!</v>
      </c>
      <c r="AG65" t="e">
        <f t="shared" si="120"/>
        <v>#VALUE!</v>
      </c>
      <c r="AH65" t="e">
        <f t="shared" si="121"/>
        <v>#VALUE!</v>
      </c>
      <c r="AI65" t="e">
        <f t="shared" si="122"/>
        <v>#VALUE!</v>
      </c>
      <c r="AJ65" s="15" t="e">
        <f t="shared" si="123"/>
        <v>#VALUE!</v>
      </c>
      <c r="AK65" t="e">
        <f t="shared" si="124"/>
        <v>#VALUE!</v>
      </c>
      <c r="AL65" t="e">
        <f t="shared" si="125"/>
        <v>#VALUE!</v>
      </c>
      <c r="AM65" t="e">
        <f t="shared" si="126"/>
        <v>#VALUE!</v>
      </c>
      <c r="AN65" t="e">
        <f t="shared" si="127"/>
        <v>#VALUE!</v>
      </c>
      <c r="AO65" s="15" t="e">
        <f t="shared" si="128"/>
        <v>#VALUE!</v>
      </c>
      <c r="AP65" t="e">
        <f t="shared" si="129"/>
        <v>#VALUE!</v>
      </c>
      <c r="AQ65" t="e">
        <f t="shared" si="130"/>
        <v>#VALUE!</v>
      </c>
      <c r="AR65" t="e">
        <f t="shared" si="131"/>
        <v>#VALUE!</v>
      </c>
      <c r="AS65" t="e">
        <f t="shared" si="132"/>
        <v>#VALUE!</v>
      </c>
      <c r="AT65" s="15" t="e">
        <f t="shared" si="133"/>
        <v>#VALUE!</v>
      </c>
      <c r="AU65" t="e">
        <f t="shared" si="134"/>
        <v>#VALUE!</v>
      </c>
      <c r="AW65" t="e">
        <f t="shared" si="70"/>
        <v>#VALUE!</v>
      </c>
      <c r="AX65" s="15" t="e">
        <f t="shared" si="71"/>
        <v>#VALUE!</v>
      </c>
      <c r="AY65" s="15">
        <v>0</v>
      </c>
    </row>
    <row r="66" spans="1:51" ht="12.75">
      <c r="A66" s="1" t="s">
        <v>46</v>
      </c>
      <c r="B66" s="3"/>
      <c r="C66" s="144">
        <f>SUM(C67:C70)</f>
        <v>0.031058244307212404</v>
      </c>
      <c r="D66" s="163"/>
      <c r="E66" s="5">
        <f>SUM(E67:E70)</f>
        <v>202.17271104175504</v>
      </c>
      <c r="F66" s="3"/>
      <c r="G66" s="6">
        <f>SUM(G67:G70)</f>
        <v>11.08437203351061</v>
      </c>
      <c r="H66" s="226"/>
      <c r="I66" s="226"/>
      <c r="J66" s="13">
        <f t="shared" si="135"/>
        <v>0</v>
      </c>
      <c r="K66" s="148"/>
      <c r="L66" s="133"/>
      <c r="M66" s="133"/>
      <c r="N66" s="133"/>
      <c r="Q66" s="5"/>
      <c r="T66" s="15">
        <f t="shared" si="108"/>
        <v>0</v>
      </c>
      <c r="U66" s="15">
        <f t="shared" si="109"/>
        <v>0</v>
      </c>
      <c r="V66" s="15" t="e">
        <f t="shared" si="69"/>
        <v>#VALUE!</v>
      </c>
      <c r="W66" s="16">
        <f t="shared" si="110"/>
        <v>0</v>
      </c>
      <c r="X66">
        <f t="shared" si="111"/>
        <v>0</v>
      </c>
      <c r="Y66">
        <f t="shared" si="112"/>
        <v>0</v>
      </c>
      <c r="Z66">
        <f t="shared" si="113"/>
        <v>0</v>
      </c>
      <c r="AA66" t="e">
        <f t="shared" si="114"/>
        <v>#VALUE!</v>
      </c>
      <c r="AB66">
        <f t="shared" si="115"/>
        <v>0</v>
      </c>
      <c r="AC66">
        <f t="shared" si="116"/>
        <v>0</v>
      </c>
      <c r="AD66">
        <f t="shared" si="117"/>
        <v>0</v>
      </c>
      <c r="AE66" s="15">
        <f t="shared" si="118"/>
        <v>0</v>
      </c>
      <c r="AF66" t="e">
        <f t="shared" si="119"/>
        <v>#VALUE!</v>
      </c>
      <c r="AG66">
        <f t="shared" si="120"/>
        <v>0</v>
      </c>
      <c r="AH66">
        <f t="shared" si="121"/>
        <v>0</v>
      </c>
      <c r="AI66">
        <f t="shared" si="122"/>
        <v>0</v>
      </c>
      <c r="AJ66" s="15">
        <f t="shared" si="123"/>
        <v>0</v>
      </c>
      <c r="AK66" t="e">
        <f t="shared" si="124"/>
        <v>#VALUE!</v>
      </c>
      <c r="AL66">
        <f t="shared" si="125"/>
        <v>0</v>
      </c>
      <c r="AM66">
        <f t="shared" si="126"/>
        <v>0</v>
      </c>
      <c r="AN66">
        <f t="shared" si="127"/>
        <v>0</v>
      </c>
      <c r="AO66" s="15">
        <f t="shared" si="128"/>
        <v>0</v>
      </c>
      <c r="AP66" t="e">
        <f t="shared" si="129"/>
        <v>#VALUE!</v>
      </c>
      <c r="AQ66">
        <f t="shared" si="130"/>
        <v>0</v>
      </c>
      <c r="AR66">
        <f t="shared" si="131"/>
        <v>0</v>
      </c>
      <c r="AS66">
        <f t="shared" si="132"/>
        <v>0</v>
      </c>
      <c r="AT66" s="15">
        <f t="shared" si="133"/>
        <v>0</v>
      </c>
      <c r="AU66" t="e">
        <f t="shared" si="134"/>
        <v>#VALUE!</v>
      </c>
      <c r="AW66">
        <f t="shared" si="70"/>
        <v>0</v>
      </c>
      <c r="AX66" s="15" t="e">
        <f t="shared" si="71"/>
        <v>#VALUE!</v>
      </c>
      <c r="AY66" s="15" t="e">
        <f>SUM(AW67:AX70)</f>
        <v>#VALUE!</v>
      </c>
    </row>
    <row r="67" spans="1:51" ht="12.75">
      <c r="A67" s="150" t="s">
        <v>47</v>
      </c>
      <c r="B67" s="8" t="s">
        <v>132</v>
      </c>
      <c r="C67" s="145">
        <v>0.0016410325786733824</v>
      </c>
      <c r="D67" s="164">
        <v>0.5520186697782964</v>
      </c>
      <c r="E67" s="5">
        <f>F67*$D67</f>
        <v>94.616</v>
      </c>
      <c r="F67" s="10">
        <v>171.4</v>
      </c>
      <c r="G67" s="6">
        <f>H67*$D67</f>
        <v>8.041531151686966</v>
      </c>
      <c r="H67" s="226">
        <v>14.56749851398438</v>
      </c>
      <c r="I67" s="226">
        <v>14.56749851398438</v>
      </c>
      <c r="J67" s="13">
        <f t="shared" si="135"/>
        <v>0</v>
      </c>
      <c r="K67" s="149"/>
      <c r="L67" s="133"/>
      <c r="M67" s="133"/>
      <c r="N67" s="133"/>
      <c r="Q67" s="10"/>
      <c r="R67" s="15">
        <f t="shared" si="106"/>
        <v>0</v>
      </c>
      <c r="S67" s="15">
        <f t="shared" si="107"/>
        <v>0</v>
      </c>
      <c r="T67" s="15">
        <f t="shared" si="108"/>
        <v>0</v>
      </c>
      <c r="U67" s="15">
        <f t="shared" si="109"/>
        <v>0</v>
      </c>
      <c r="V67" s="15" t="e">
        <f t="shared" si="69"/>
        <v>#VALUE!</v>
      </c>
      <c r="W67" s="16" t="e">
        <f t="shared" si="110"/>
        <v>#VALUE!</v>
      </c>
      <c r="X67" t="e">
        <f t="shared" si="111"/>
        <v>#VALUE!</v>
      </c>
      <c r="Y67" t="e">
        <f t="shared" si="112"/>
        <v>#VALUE!</v>
      </c>
      <c r="Z67" t="e">
        <f t="shared" si="113"/>
        <v>#VALUE!</v>
      </c>
      <c r="AA67" t="e">
        <f t="shared" si="114"/>
        <v>#VALUE!</v>
      </c>
      <c r="AB67" t="e">
        <f t="shared" si="115"/>
        <v>#VALUE!</v>
      </c>
      <c r="AC67" t="e">
        <f t="shared" si="116"/>
        <v>#VALUE!</v>
      </c>
      <c r="AD67" t="e">
        <f t="shared" si="117"/>
        <v>#VALUE!</v>
      </c>
      <c r="AE67" s="15" t="e">
        <f t="shared" si="118"/>
        <v>#VALUE!</v>
      </c>
      <c r="AF67" t="e">
        <f t="shared" si="119"/>
        <v>#VALUE!</v>
      </c>
      <c r="AG67" t="e">
        <f t="shared" si="120"/>
        <v>#VALUE!</v>
      </c>
      <c r="AH67" t="e">
        <f t="shared" si="121"/>
        <v>#VALUE!</v>
      </c>
      <c r="AI67" t="e">
        <f t="shared" si="122"/>
        <v>#VALUE!</v>
      </c>
      <c r="AJ67" s="15" t="e">
        <f t="shared" si="123"/>
        <v>#VALUE!</v>
      </c>
      <c r="AK67" t="e">
        <f t="shared" si="124"/>
        <v>#VALUE!</v>
      </c>
      <c r="AL67" t="e">
        <f t="shared" si="125"/>
        <v>#VALUE!</v>
      </c>
      <c r="AM67" t="e">
        <f t="shared" si="126"/>
        <v>#VALUE!</v>
      </c>
      <c r="AN67" t="e">
        <f t="shared" si="127"/>
        <v>#VALUE!</v>
      </c>
      <c r="AO67" s="15" t="e">
        <f t="shared" si="128"/>
        <v>#VALUE!</v>
      </c>
      <c r="AP67" t="e">
        <f t="shared" si="129"/>
        <v>#VALUE!</v>
      </c>
      <c r="AQ67" t="e">
        <f t="shared" si="130"/>
        <v>#VALUE!</v>
      </c>
      <c r="AR67" t="e">
        <f t="shared" si="131"/>
        <v>#VALUE!</v>
      </c>
      <c r="AS67" t="e">
        <f t="shared" si="132"/>
        <v>#VALUE!</v>
      </c>
      <c r="AT67" s="15" t="e">
        <f t="shared" si="133"/>
        <v>#VALUE!</v>
      </c>
      <c r="AU67" t="e">
        <f t="shared" si="134"/>
        <v>#VALUE!</v>
      </c>
      <c r="AW67" t="e">
        <f t="shared" si="70"/>
        <v>#VALUE!</v>
      </c>
      <c r="AX67" s="15" t="e">
        <f t="shared" si="71"/>
        <v>#VALUE!</v>
      </c>
      <c r="AY67" s="15"/>
    </row>
    <row r="68" spans="1:51" ht="12.75">
      <c r="A68" s="1" t="s">
        <v>48</v>
      </c>
      <c r="B68" s="1" t="s">
        <v>133</v>
      </c>
      <c r="C68" s="144">
        <v>0.004780757722853612</v>
      </c>
      <c r="D68" s="163">
        <v>1.6081749704417212</v>
      </c>
      <c r="E68" s="5">
        <f>F68*$D68</f>
        <v>23.49510698315952</v>
      </c>
      <c r="F68" s="5">
        <v>14.609795211963823</v>
      </c>
      <c r="G68" s="6">
        <f>H68*$D68</f>
        <v>0.783637190516109</v>
      </c>
      <c r="H68" s="226">
        <v>0.487283538743838</v>
      </c>
      <c r="I68" s="226">
        <v>0.487283538743838</v>
      </c>
      <c r="J68" s="13">
        <f t="shared" si="135"/>
        <v>0</v>
      </c>
      <c r="K68" s="148">
        <v>0.004780757722853612</v>
      </c>
      <c r="L68" s="133">
        <v>0.007447757055395277</v>
      </c>
      <c r="M68" s="133">
        <v>134.2686116856596</v>
      </c>
      <c r="N68" s="133">
        <v>0.004752808888178336</v>
      </c>
      <c r="O68" s="15" t="e">
        <f>N68*$O$7</f>
        <v>#VALUE!</v>
      </c>
      <c r="P68" s="15" t="e">
        <f aca="true" t="shared" si="136" ref="P68:P82">O68/I68</f>
        <v>#VALUE!</v>
      </c>
      <c r="Q68" s="5">
        <v>1.6081749704417212</v>
      </c>
      <c r="R68" s="15" t="e">
        <f t="shared" si="106"/>
        <v>#VALUE!</v>
      </c>
      <c r="S68" s="15" t="e">
        <f t="shared" si="107"/>
        <v>#VALUE!</v>
      </c>
      <c r="T68" s="15" t="e">
        <f t="shared" si="108"/>
        <v>#VALUE!</v>
      </c>
      <c r="U68" s="15" t="e">
        <f t="shared" si="109"/>
        <v>#VALUE!</v>
      </c>
      <c r="V68" s="15" t="e">
        <f t="shared" si="69"/>
        <v>#VALUE!</v>
      </c>
      <c r="W68" s="16" t="e">
        <f t="shared" si="110"/>
        <v>#VALUE!</v>
      </c>
      <c r="X68" t="e">
        <f t="shared" si="111"/>
        <v>#VALUE!</v>
      </c>
      <c r="Y68" t="e">
        <f t="shared" si="112"/>
        <v>#VALUE!</v>
      </c>
      <c r="Z68" t="e">
        <f t="shared" si="113"/>
        <v>#VALUE!</v>
      </c>
      <c r="AA68" t="e">
        <f t="shared" si="114"/>
        <v>#VALUE!</v>
      </c>
      <c r="AB68" t="e">
        <f t="shared" si="115"/>
        <v>#VALUE!</v>
      </c>
      <c r="AC68" t="e">
        <f t="shared" si="116"/>
        <v>#VALUE!</v>
      </c>
      <c r="AD68" t="e">
        <f t="shared" si="117"/>
        <v>#VALUE!</v>
      </c>
      <c r="AE68" s="15" t="e">
        <f t="shared" si="118"/>
        <v>#VALUE!</v>
      </c>
      <c r="AF68" t="e">
        <f t="shared" si="119"/>
        <v>#VALUE!</v>
      </c>
      <c r="AG68" t="e">
        <f t="shared" si="120"/>
        <v>#VALUE!</v>
      </c>
      <c r="AH68" t="e">
        <f t="shared" si="121"/>
        <v>#VALUE!</v>
      </c>
      <c r="AI68" t="e">
        <f t="shared" si="122"/>
        <v>#VALUE!</v>
      </c>
      <c r="AJ68" s="15" t="e">
        <f t="shared" si="123"/>
        <v>#VALUE!</v>
      </c>
      <c r="AK68" t="e">
        <f t="shared" si="124"/>
        <v>#VALUE!</v>
      </c>
      <c r="AL68" t="e">
        <f t="shared" si="125"/>
        <v>#VALUE!</v>
      </c>
      <c r="AM68" t="e">
        <f t="shared" si="126"/>
        <v>#VALUE!</v>
      </c>
      <c r="AN68" t="e">
        <f t="shared" si="127"/>
        <v>#VALUE!</v>
      </c>
      <c r="AO68" s="15" t="e">
        <f t="shared" si="128"/>
        <v>#VALUE!</v>
      </c>
      <c r="AP68" t="e">
        <f t="shared" si="129"/>
        <v>#VALUE!</v>
      </c>
      <c r="AQ68" t="e">
        <f t="shared" si="130"/>
        <v>#VALUE!</v>
      </c>
      <c r="AR68" t="e">
        <f t="shared" si="131"/>
        <v>#VALUE!</v>
      </c>
      <c r="AS68" t="e">
        <f t="shared" si="132"/>
        <v>#VALUE!</v>
      </c>
      <c r="AT68" s="15" t="e">
        <f t="shared" si="133"/>
        <v>#VALUE!</v>
      </c>
      <c r="AU68" t="e">
        <f t="shared" si="134"/>
        <v>#VALUE!</v>
      </c>
      <c r="AW68" t="e">
        <f t="shared" si="70"/>
        <v>#VALUE!</v>
      </c>
      <c r="AX68" s="15" t="e">
        <f t="shared" si="71"/>
        <v>#VALUE!</v>
      </c>
      <c r="AY68" s="15"/>
    </row>
    <row r="69" spans="1:51" ht="12.75">
      <c r="A69" s="1" t="s">
        <v>236</v>
      </c>
      <c r="B69" s="1" t="s">
        <v>134</v>
      </c>
      <c r="C69" s="144">
        <v>0.01823624216773628</v>
      </c>
      <c r="D69" s="163">
        <v>6.1343974970482655</v>
      </c>
      <c r="E69" s="5">
        <f>F69*$D69</f>
        <v>58.43369297816779</v>
      </c>
      <c r="F69" s="5">
        <v>9.525579815505072</v>
      </c>
      <c r="G69" s="6">
        <f>H69*$D69</f>
        <v>1.6617963759644445</v>
      </c>
      <c r="H69" s="226">
        <v>0.27089805914339</v>
      </c>
      <c r="I69" s="226">
        <v>0.27089805914339</v>
      </c>
      <c r="J69" s="13">
        <f t="shared" si="135"/>
        <v>0</v>
      </c>
      <c r="K69" s="148">
        <v>0.01823624216773628</v>
      </c>
      <c r="L69" s="133">
        <v>0.02840953445923316</v>
      </c>
      <c r="M69" s="133">
        <v>35.19945043221213</v>
      </c>
      <c r="N69" s="133">
        <v>0.001245981907259703</v>
      </c>
      <c r="O69" s="15" t="e">
        <f>N69*$O$7</f>
        <v>#VALUE!</v>
      </c>
      <c r="P69" s="15" t="e">
        <f t="shared" si="136"/>
        <v>#VALUE!</v>
      </c>
      <c r="Q69" s="5">
        <v>6.1343974970482655</v>
      </c>
      <c r="R69" s="15" t="e">
        <f t="shared" si="106"/>
        <v>#VALUE!</v>
      </c>
      <c r="S69" s="15" t="e">
        <f t="shared" si="107"/>
        <v>#VALUE!</v>
      </c>
      <c r="T69" s="15" t="e">
        <f t="shared" si="108"/>
        <v>#VALUE!</v>
      </c>
      <c r="U69" s="15" t="e">
        <f t="shared" si="109"/>
        <v>#VALUE!</v>
      </c>
      <c r="V69" s="15" t="e">
        <f t="shared" si="69"/>
        <v>#VALUE!</v>
      </c>
      <c r="W69" s="16" t="e">
        <f t="shared" si="110"/>
        <v>#VALUE!</v>
      </c>
      <c r="X69" t="e">
        <f t="shared" si="111"/>
        <v>#VALUE!</v>
      </c>
      <c r="Y69" t="e">
        <f t="shared" si="112"/>
        <v>#VALUE!</v>
      </c>
      <c r="Z69" t="e">
        <f t="shared" si="113"/>
        <v>#VALUE!</v>
      </c>
      <c r="AA69" t="e">
        <f t="shared" si="114"/>
        <v>#VALUE!</v>
      </c>
      <c r="AB69" t="e">
        <f t="shared" si="115"/>
        <v>#VALUE!</v>
      </c>
      <c r="AC69" t="e">
        <f t="shared" si="116"/>
        <v>#VALUE!</v>
      </c>
      <c r="AD69" t="e">
        <f t="shared" si="117"/>
        <v>#VALUE!</v>
      </c>
      <c r="AE69" s="15" t="e">
        <f t="shared" si="118"/>
        <v>#VALUE!</v>
      </c>
      <c r="AF69" t="e">
        <f t="shared" si="119"/>
        <v>#VALUE!</v>
      </c>
      <c r="AG69" t="e">
        <f t="shared" si="120"/>
        <v>#VALUE!</v>
      </c>
      <c r="AH69" t="e">
        <f t="shared" si="121"/>
        <v>#VALUE!</v>
      </c>
      <c r="AI69" t="e">
        <f t="shared" si="122"/>
        <v>#VALUE!</v>
      </c>
      <c r="AJ69" s="15" t="e">
        <f t="shared" si="123"/>
        <v>#VALUE!</v>
      </c>
      <c r="AK69" t="e">
        <f t="shared" si="124"/>
        <v>#VALUE!</v>
      </c>
      <c r="AL69" t="e">
        <f t="shared" si="125"/>
        <v>#VALUE!</v>
      </c>
      <c r="AM69" t="e">
        <f t="shared" si="126"/>
        <v>#VALUE!</v>
      </c>
      <c r="AN69" t="e">
        <f t="shared" si="127"/>
        <v>#VALUE!</v>
      </c>
      <c r="AO69" s="15" t="e">
        <f t="shared" si="128"/>
        <v>#VALUE!</v>
      </c>
      <c r="AP69" t="e">
        <f t="shared" si="129"/>
        <v>#VALUE!</v>
      </c>
      <c r="AQ69" t="e">
        <f t="shared" si="130"/>
        <v>#VALUE!</v>
      </c>
      <c r="AR69" t="e">
        <f t="shared" si="131"/>
        <v>#VALUE!</v>
      </c>
      <c r="AS69" t="e">
        <f t="shared" si="132"/>
        <v>#VALUE!</v>
      </c>
      <c r="AT69" s="15" t="e">
        <f t="shared" si="133"/>
        <v>#VALUE!</v>
      </c>
      <c r="AU69" t="e">
        <f t="shared" si="134"/>
        <v>#VALUE!</v>
      </c>
      <c r="AW69" t="e">
        <f t="shared" si="70"/>
        <v>#VALUE!</v>
      </c>
      <c r="AX69" s="15" t="e">
        <f t="shared" si="71"/>
        <v>#VALUE!</v>
      </c>
      <c r="AY69" s="15"/>
    </row>
    <row r="70" spans="1:51" ht="12.75">
      <c r="A70" s="1" t="s">
        <v>237</v>
      </c>
      <c r="B70" s="1" t="s">
        <v>135</v>
      </c>
      <c r="C70" s="144">
        <v>0.006400211837949129</v>
      </c>
      <c r="D70" s="163">
        <v>2.1529349697250404</v>
      </c>
      <c r="E70" s="5">
        <f>F70*$D70</f>
        <v>25.627911080427744</v>
      </c>
      <c r="F70" s="5">
        <v>11.90370886292993</v>
      </c>
      <c r="G70" s="6">
        <f>H70*$D70</f>
        <v>0.5974073153430909</v>
      </c>
      <c r="H70" s="226">
        <v>0.27748507211966</v>
      </c>
      <c r="I70" s="226">
        <v>0.27748507211966</v>
      </c>
      <c r="J70" s="13">
        <f t="shared" si="135"/>
        <v>0</v>
      </c>
      <c r="K70" s="148">
        <v>0.006400211837949129</v>
      </c>
      <c r="L70" s="133">
        <v>0.009970641817769767</v>
      </c>
      <c r="M70" s="133">
        <v>100.29444626300696</v>
      </c>
      <c r="N70" s="133">
        <v>0.0035501993328844053</v>
      </c>
      <c r="O70" s="15" t="e">
        <f>N70*$O$7</f>
        <v>#VALUE!</v>
      </c>
      <c r="P70" s="15" t="e">
        <f t="shared" si="136"/>
        <v>#VALUE!</v>
      </c>
      <c r="Q70" s="5">
        <v>2.1529349697250404</v>
      </c>
      <c r="R70" s="15" t="e">
        <f t="shared" si="106"/>
        <v>#VALUE!</v>
      </c>
      <c r="S70" s="15" t="e">
        <f t="shared" si="107"/>
        <v>#VALUE!</v>
      </c>
      <c r="T70" s="15" t="e">
        <f t="shared" si="108"/>
        <v>#VALUE!</v>
      </c>
      <c r="U70" s="15" t="e">
        <f t="shared" si="109"/>
        <v>#VALUE!</v>
      </c>
      <c r="V70" s="15" t="e">
        <f t="shared" si="69"/>
        <v>#VALUE!</v>
      </c>
      <c r="W70" s="16" t="e">
        <f t="shared" si="110"/>
        <v>#VALUE!</v>
      </c>
      <c r="X70" t="e">
        <f t="shared" si="111"/>
        <v>#VALUE!</v>
      </c>
      <c r="Y70" t="e">
        <f t="shared" si="112"/>
        <v>#VALUE!</v>
      </c>
      <c r="Z70" t="e">
        <f t="shared" si="113"/>
        <v>#VALUE!</v>
      </c>
      <c r="AA70" t="e">
        <f t="shared" si="114"/>
        <v>#VALUE!</v>
      </c>
      <c r="AB70" t="e">
        <f t="shared" si="115"/>
        <v>#VALUE!</v>
      </c>
      <c r="AC70" t="e">
        <f t="shared" si="116"/>
        <v>#VALUE!</v>
      </c>
      <c r="AD70" t="e">
        <f t="shared" si="117"/>
        <v>#VALUE!</v>
      </c>
      <c r="AE70" s="15" t="e">
        <f t="shared" si="118"/>
        <v>#VALUE!</v>
      </c>
      <c r="AF70" t="e">
        <f t="shared" si="119"/>
        <v>#VALUE!</v>
      </c>
      <c r="AG70" t="e">
        <f t="shared" si="120"/>
        <v>#VALUE!</v>
      </c>
      <c r="AH70" t="e">
        <f t="shared" si="121"/>
        <v>#VALUE!</v>
      </c>
      <c r="AI70" t="e">
        <f t="shared" si="122"/>
        <v>#VALUE!</v>
      </c>
      <c r="AJ70" s="15" t="e">
        <f t="shared" si="123"/>
        <v>#VALUE!</v>
      </c>
      <c r="AK70" t="e">
        <f t="shared" si="124"/>
        <v>#VALUE!</v>
      </c>
      <c r="AL70" t="e">
        <f t="shared" si="125"/>
        <v>#VALUE!</v>
      </c>
      <c r="AM70" t="e">
        <f t="shared" si="126"/>
        <v>#VALUE!</v>
      </c>
      <c r="AN70" t="e">
        <f t="shared" si="127"/>
        <v>#VALUE!</v>
      </c>
      <c r="AO70" s="15" t="e">
        <f t="shared" si="128"/>
        <v>#VALUE!</v>
      </c>
      <c r="AP70" t="e">
        <f t="shared" si="129"/>
        <v>#VALUE!</v>
      </c>
      <c r="AQ70" t="e">
        <f t="shared" si="130"/>
        <v>#VALUE!</v>
      </c>
      <c r="AR70" t="e">
        <f t="shared" si="131"/>
        <v>#VALUE!</v>
      </c>
      <c r="AS70" t="e">
        <f t="shared" si="132"/>
        <v>#VALUE!</v>
      </c>
      <c r="AT70" s="15" t="e">
        <f t="shared" si="133"/>
        <v>#VALUE!</v>
      </c>
      <c r="AU70" t="e">
        <f t="shared" si="134"/>
        <v>#VALUE!</v>
      </c>
      <c r="AW70" t="e">
        <f t="shared" si="70"/>
        <v>#VALUE!</v>
      </c>
      <c r="AX70" s="15" t="e">
        <f t="shared" si="71"/>
        <v>#VALUE!</v>
      </c>
      <c r="AY70" s="15"/>
    </row>
    <row r="71" spans="1:51" ht="12.75">
      <c r="A71" s="1" t="s">
        <v>49</v>
      </c>
      <c r="B71" s="4"/>
      <c r="C71" s="144">
        <f>SUM(C72:C73)</f>
        <v>0.001978154283602715</v>
      </c>
      <c r="D71" s="163"/>
      <c r="E71" s="5">
        <f>SUM(E72:E73)</f>
        <v>32.21690526445817</v>
      </c>
      <c r="F71" s="3"/>
      <c r="G71" s="6">
        <f>SUM(G72:G73)</f>
        <v>0.9227622239976819</v>
      </c>
      <c r="H71" s="226"/>
      <c r="I71" s="226"/>
      <c r="J71" s="13">
        <f t="shared" si="135"/>
        <v>0</v>
      </c>
      <c r="K71" s="148"/>
      <c r="L71" s="133"/>
      <c r="M71" s="133"/>
      <c r="N71" s="133"/>
      <c r="P71" s="15"/>
      <c r="Q71" s="5"/>
      <c r="T71" s="15">
        <f t="shared" si="108"/>
        <v>0</v>
      </c>
      <c r="U71" s="15">
        <f t="shared" si="109"/>
        <v>0</v>
      </c>
      <c r="V71" s="15" t="e">
        <f t="shared" si="69"/>
        <v>#VALUE!</v>
      </c>
      <c r="W71" s="16">
        <f t="shared" si="110"/>
        <v>0</v>
      </c>
      <c r="X71">
        <f t="shared" si="111"/>
        <v>0</v>
      </c>
      <c r="Y71">
        <f t="shared" si="112"/>
        <v>0</v>
      </c>
      <c r="Z71">
        <f t="shared" si="113"/>
        <v>0</v>
      </c>
      <c r="AA71" t="e">
        <f t="shared" si="114"/>
        <v>#VALUE!</v>
      </c>
      <c r="AB71">
        <f t="shared" si="115"/>
        <v>0</v>
      </c>
      <c r="AC71">
        <f t="shared" si="116"/>
        <v>0</v>
      </c>
      <c r="AD71">
        <f t="shared" si="117"/>
        <v>0</v>
      </c>
      <c r="AE71" s="15">
        <f t="shared" si="118"/>
        <v>0</v>
      </c>
      <c r="AF71" t="e">
        <f t="shared" si="119"/>
        <v>#VALUE!</v>
      </c>
      <c r="AG71">
        <f t="shared" si="120"/>
        <v>0</v>
      </c>
      <c r="AH71">
        <f t="shared" si="121"/>
        <v>0</v>
      </c>
      <c r="AI71">
        <f t="shared" si="122"/>
        <v>0</v>
      </c>
      <c r="AJ71" s="15">
        <f t="shared" si="123"/>
        <v>0</v>
      </c>
      <c r="AK71" t="e">
        <f t="shared" si="124"/>
        <v>#VALUE!</v>
      </c>
      <c r="AL71">
        <f t="shared" si="125"/>
        <v>0</v>
      </c>
      <c r="AM71">
        <f t="shared" si="126"/>
        <v>0</v>
      </c>
      <c r="AN71">
        <f t="shared" si="127"/>
        <v>0</v>
      </c>
      <c r="AO71" s="15">
        <f t="shared" si="128"/>
        <v>0</v>
      </c>
      <c r="AP71" t="e">
        <f t="shared" si="129"/>
        <v>#VALUE!</v>
      </c>
      <c r="AQ71">
        <f t="shared" si="130"/>
        <v>0</v>
      </c>
      <c r="AR71">
        <f t="shared" si="131"/>
        <v>0</v>
      </c>
      <c r="AS71">
        <f t="shared" si="132"/>
        <v>0</v>
      </c>
      <c r="AT71" s="15">
        <f t="shared" si="133"/>
        <v>0</v>
      </c>
      <c r="AU71" t="e">
        <f t="shared" si="134"/>
        <v>#VALUE!</v>
      </c>
      <c r="AW71">
        <f t="shared" si="70"/>
        <v>0</v>
      </c>
      <c r="AX71" s="15" t="e">
        <f t="shared" si="71"/>
        <v>#VALUE!</v>
      </c>
      <c r="AY71" s="15" t="e">
        <f>SUM(AW72:AX73)</f>
        <v>#VALUE!</v>
      </c>
    </row>
    <row r="72" spans="1:51" ht="12.75">
      <c r="A72" s="1" t="s">
        <v>50</v>
      </c>
      <c r="B72" s="1" t="s">
        <v>127</v>
      </c>
      <c r="C72" s="144">
        <v>0.0013278043079113914</v>
      </c>
      <c r="D72" s="163">
        <v>0.44665339208053745</v>
      </c>
      <c r="E72" s="5">
        <f>F72*$D72</f>
        <v>26.36025947527285</v>
      </c>
      <c r="F72" s="5">
        <v>59.01726023502302</v>
      </c>
      <c r="G72" s="6">
        <f>H72*$D72</f>
        <v>0.8510080057106649</v>
      </c>
      <c r="H72" s="226">
        <v>1.90529842781809</v>
      </c>
      <c r="I72" s="226">
        <v>1.90529842781809</v>
      </c>
      <c r="J72" s="13">
        <f t="shared" si="135"/>
        <v>0</v>
      </c>
      <c r="K72" s="148">
        <v>0.0013278043079113914</v>
      </c>
      <c r="L72" s="133">
        <v>0.0020685348381403674</v>
      </c>
      <c r="M72" s="133">
        <v>483.433965704445</v>
      </c>
      <c r="N72" s="133">
        <v>0.017112482360557443</v>
      </c>
      <c r="O72" s="15" t="e">
        <f>N72*$O$7</f>
        <v>#VALUE!</v>
      </c>
      <c r="P72" s="15" t="e">
        <f t="shared" si="136"/>
        <v>#VALUE!</v>
      </c>
      <c r="Q72" s="5">
        <v>0.44665339208053745</v>
      </c>
      <c r="R72" s="15" t="e">
        <f t="shared" si="106"/>
        <v>#VALUE!</v>
      </c>
      <c r="S72" s="15" t="e">
        <f t="shared" si="107"/>
        <v>#VALUE!</v>
      </c>
      <c r="T72" s="15" t="e">
        <f t="shared" si="108"/>
        <v>#VALUE!</v>
      </c>
      <c r="U72" s="15" t="e">
        <f t="shared" si="109"/>
        <v>#VALUE!</v>
      </c>
      <c r="V72" s="15" t="e">
        <f t="shared" si="69"/>
        <v>#VALUE!</v>
      </c>
      <c r="W72" s="16" t="e">
        <f t="shared" si="110"/>
        <v>#VALUE!</v>
      </c>
      <c r="X72" t="e">
        <f t="shared" si="111"/>
        <v>#VALUE!</v>
      </c>
      <c r="Y72" t="e">
        <f t="shared" si="112"/>
        <v>#VALUE!</v>
      </c>
      <c r="Z72" t="e">
        <f t="shared" si="113"/>
        <v>#VALUE!</v>
      </c>
      <c r="AA72" t="e">
        <f t="shared" si="114"/>
        <v>#VALUE!</v>
      </c>
      <c r="AB72" t="e">
        <f t="shared" si="115"/>
        <v>#VALUE!</v>
      </c>
      <c r="AC72" t="e">
        <f t="shared" si="116"/>
        <v>#VALUE!</v>
      </c>
      <c r="AD72" t="e">
        <f t="shared" si="117"/>
        <v>#VALUE!</v>
      </c>
      <c r="AE72" s="15" t="e">
        <f t="shared" si="118"/>
        <v>#VALUE!</v>
      </c>
      <c r="AF72" t="e">
        <f t="shared" si="119"/>
        <v>#VALUE!</v>
      </c>
      <c r="AG72" t="e">
        <f t="shared" si="120"/>
        <v>#VALUE!</v>
      </c>
      <c r="AH72" t="e">
        <f t="shared" si="121"/>
        <v>#VALUE!</v>
      </c>
      <c r="AI72" t="e">
        <f t="shared" si="122"/>
        <v>#VALUE!</v>
      </c>
      <c r="AJ72" s="15" t="e">
        <f t="shared" si="123"/>
        <v>#VALUE!</v>
      </c>
      <c r="AK72" t="e">
        <f t="shared" si="124"/>
        <v>#VALUE!</v>
      </c>
      <c r="AL72" t="e">
        <f t="shared" si="125"/>
        <v>#VALUE!</v>
      </c>
      <c r="AM72" t="e">
        <f t="shared" si="126"/>
        <v>#VALUE!</v>
      </c>
      <c r="AN72" t="e">
        <f t="shared" si="127"/>
        <v>#VALUE!</v>
      </c>
      <c r="AO72" s="15" t="e">
        <f t="shared" si="128"/>
        <v>#VALUE!</v>
      </c>
      <c r="AP72" t="e">
        <f t="shared" si="129"/>
        <v>#VALUE!</v>
      </c>
      <c r="AQ72" t="e">
        <f t="shared" si="130"/>
        <v>#VALUE!</v>
      </c>
      <c r="AR72" t="e">
        <f t="shared" si="131"/>
        <v>#VALUE!</v>
      </c>
      <c r="AS72" t="e">
        <f t="shared" si="132"/>
        <v>#VALUE!</v>
      </c>
      <c r="AT72" s="15" t="e">
        <f t="shared" si="133"/>
        <v>#VALUE!</v>
      </c>
      <c r="AU72" t="e">
        <f t="shared" si="134"/>
        <v>#VALUE!</v>
      </c>
      <c r="AW72" t="e">
        <f t="shared" si="70"/>
        <v>#VALUE!</v>
      </c>
      <c r="AX72" s="15" t="e">
        <f t="shared" si="71"/>
        <v>#VALUE!</v>
      </c>
      <c r="AY72" s="15"/>
    </row>
    <row r="73" spans="1:51" ht="12.75">
      <c r="A73" s="1" t="s">
        <v>51</v>
      </c>
      <c r="B73" s="1" t="s">
        <v>127</v>
      </c>
      <c r="C73" s="144">
        <v>0.0006503499756913234</v>
      </c>
      <c r="D73" s="163">
        <v>0.21876794716756515</v>
      </c>
      <c r="E73" s="5">
        <f>F73*$D73</f>
        <v>5.856645789185316</v>
      </c>
      <c r="F73" s="5">
        <v>26.771041484881795</v>
      </c>
      <c r="G73" s="6">
        <f>H73*$D73</f>
        <v>0.071754218287017</v>
      </c>
      <c r="H73" s="226">
        <v>0.32799237372766</v>
      </c>
      <c r="I73" s="226">
        <v>0.32799237372766</v>
      </c>
      <c r="J73" s="13">
        <f t="shared" si="135"/>
        <v>0</v>
      </c>
      <c r="K73" s="148">
        <v>0.0006503499756913234</v>
      </c>
      <c r="L73" s="133">
        <v>0.001013155006114815</v>
      </c>
      <c r="M73" s="133">
        <v>987.015801101096</v>
      </c>
      <c r="N73" s="133">
        <v>0.03493815429646523</v>
      </c>
      <c r="O73" s="15" t="e">
        <f>N73*$O$7</f>
        <v>#VALUE!</v>
      </c>
      <c r="P73" s="15" t="e">
        <f t="shared" si="136"/>
        <v>#VALUE!</v>
      </c>
      <c r="Q73" s="5">
        <v>0.21876794716756515</v>
      </c>
      <c r="R73" s="15" t="e">
        <f t="shared" si="106"/>
        <v>#VALUE!</v>
      </c>
      <c r="S73" s="15" t="e">
        <f t="shared" si="107"/>
        <v>#VALUE!</v>
      </c>
      <c r="T73" s="15" t="e">
        <f t="shared" si="108"/>
        <v>#VALUE!</v>
      </c>
      <c r="U73" s="15" t="e">
        <f t="shared" si="109"/>
        <v>#VALUE!</v>
      </c>
      <c r="V73" s="15" t="e">
        <f t="shared" si="69"/>
        <v>#VALUE!</v>
      </c>
      <c r="W73" s="16" t="e">
        <f t="shared" si="110"/>
        <v>#VALUE!</v>
      </c>
      <c r="X73" t="e">
        <f t="shared" si="111"/>
        <v>#VALUE!</v>
      </c>
      <c r="Y73" t="e">
        <f t="shared" si="112"/>
        <v>#VALUE!</v>
      </c>
      <c r="Z73" t="e">
        <f t="shared" si="113"/>
        <v>#VALUE!</v>
      </c>
      <c r="AA73" t="e">
        <f t="shared" si="114"/>
        <v>#VALUE!</v>
      </c>
      <c r="AB73" t="e">
        <f t="shared" si="115"/>
        <v>#VALUE!</v>
      </c>
      <c r="AC73" t="e">
        <f t="shared" si="116"/>
        <v>#VALUE!</v>
      </c>
      <c r="AD73" t="e">
        <f t="shared" si="117"/>
        <v>#VALUE!</v>
      </c>
      <c r="AE73" s="15" t="e">
        <f t="shared" si="118"/>
        <v>#VALUE!</v>
      </c>
      <c r="AF73" t="e">
        <f t="shared" si="119"/>
        <v>#VALUE!</v>
      </c>
      <c r="AG73" t="e">
        <f t="shared" si="120"/>
        <v>#VALUE!</v>
      </c>
      <c r="AH73" t="e">
        <f t="shared" si="121"/>
        <v>#VALUE!</v>
      </c>
      <c r="AI73" t="e">
        <f t="shared" si="122"/>
        <v>#VALUE!</v>
      </c>
      <c r="AJ73" s="15" t="e">
        <f t="shared" si="123"/>
        <v>#VALUE!</v>
      </c>
      <c r="AK73" t="e">
        <f t="shared" si="124"/>
        <v>#VALUE!</v>
      </c>
      <c r="AL73" t="e">
        <f t="shared" si="125"/>
        <v>#VALUE!</v>
      </c>
      <c r="AM73" t="e">
        <f t="shared" si="126"/>
        <v>#VALUE!</v>
      </c>
      <c r="AN73" t="e">
        <f t="shared" si="127"/>
        <v>#VALUE!</v>
      </c>
      <c r="AO73" s="15" t="e">
        <f t="shared" si="128"/>
        <v>#VALUE!</v>
      </c>
      <c r="AP73" t="e">
        <f t="shared" si="129"/>
        <v>#VALUE!</v>
      </c>
      <c r="AQ73" t="e">
        <f t="shared" si="130"/>
        <v>#VALUE!</v>
      </c>
      <c r="AR73" t="e">
        <f t="shared" si="131"/>
        <v>#VALUE!</v>
      </c>
      <c r="AS73" t="e">
        <f t="shared" si="132"/>
        <v>#VALUE!</v>
      </c>
      <c r="AT73" s="15" t="e">
        <f t="shared" si="133"/>
        <v>#VALUE!</v>
      </c>
      <c r="AU73" t="e">
        <f t="shared" si="134"/>
        <v>#VALUE!</v>
      </c>
      <c r="AW73" t="e">
        <f t="shared" si="70"/>
        <v>#VALUE!</v>
      </c>
      <c r="AX73" s="15" t="e">
        <f t="shared" si="71"/>
        <v>#VALUE!</v>
      </c>
      <c r="AY73" s="15"/>
    </row>
    <row r="74" spans="1:51" ht="12.75">
      <c r="A74" s="1" t="s">
        <v>52</v>
      </c>
      <c r="B74" s="3"/>
      <c r="C74" s="144">
        <f>SUM(C75+C78+C83+C90)</f>
        <v>0.008760280974817545</v>
      </c>
      <c r="D74" s="163"/>
      <c r="E74" s="5">
        <f>SUM(E75+E78+E83+E90)</f>
        <v>863.0661592162364</v>
      </c>
      <c r="F74" s="3"/>
      <c r="G74" s="6" t="e">
        <f>SUM(G75+G78+G83+G90)</f>
        <v>#VALUE!</v>
      </c>
      <c r="H74" s="226"/>
      <c r="I74" s="226"/>
      <c r="J74" s="13">
        <f t="shared" si="135"/>
        <v>0</v>
      </c>
      <c r="K74" s="148"/>
      <c r="L74" s="133"/>
      <c r="M74" s="133"/>
      <c r="N74" s="133"/>
      <c r="P74" s="15"/>
      <c r="Q74" s="5"/>
      <c r="T74" s="15">
        <f t="shared" si="108"/>
        <v>0</v>
      </c>
      <c r="U74" s="15">
        <f t="shared" si="109"/>
        <v>0</v>
      </c>
      <c r="V74" s="15" t="e">
        <f t="shared" si="69"/>
        <v>#VALUE!</v>
      </c>
      <c r="W74" s="16">
        <f t="shared" si="110"/>
        <v>0</v>
      </c>
      <c r="X74">
        <f t="shared" si="111"/>
        <v>0</v>
      </c>
      <c r="Y74">
        <f t="shared" si="112"/>
        <v>0</v>
      </c>
      <c r="Z74">
        <f t="shared" si="113"/>
        <v>0</v>
      </c>
      <c r="AA74" t="e">
        <f t="shared" si="114"/>
        <v>#VALUE!</v>
      </c>
      <c r="AB74">
        <f t="shared" si="115"/>
        <v>0</v>
      </c>
      <c r="AC74">
        <f t="shared" si="116"/>
        <v>0</v>
      </c>
      <c r="AD74">
        <f t="shared" si="117"/>
        <v>0</v>
      </c>
      <c r="AE74" s="15">
        <f t="shared" si="118"/>
        <v>0</v>
      </c>
      <c r="AF74" t="e">
        <f t="shared" si="119"/>
        <v>#VALUE!</v>
      </c>
      <c r="AG74">
        <f t="shared" si="120"/>
        <v>0</v>
      </c>
      <c r="AH74">
        <f t="shared" si="121"/>
        <v>0</v>
      </c>
      <c r="AI74">
        <f t="shared" si="122"/>
        <v>0</v>
      </c>
      <c r="AJ74" s="15">
        <f t="shared" si="123"/>
        <v>0</v>
      </c>
      <c r="AK74" t="e">
        <f t="shared" si="124"/>
        <v>#VALUE!</v>
      </c>
      <c r="AL74">
        <f t="shared" si="125"/>
        <v>0</v>
      </c>
      <c r="AM74">
        <f t="shared" si="126"/>
        <v>0</v>
      </c>
      <c r="AN74">
        <f t="shared" si="127"/>
        <v>0</v>
      </c>
      <c r="AO74" s="15">
        <f t="shared" si="128"/>
        <v>0</v>
      </c>
      <c r="AP74" t="e">
        <f t="shared" si="129"/>
        <v>#VALUE!</v>
      </c>
      <c r="AQ74">
        <f t="shared" si="130"/>
        <v>0</v>
      </c>
      <c r="AR74">
        <f t="shared" si="131"/>
        <v>0</v>
      </c>
      <c r="AS74">
        <f t="shared" si="132"/>
        <v>0</v>
      </c>
      <c r="AT74" s="15">
        <f t="shared" si="133"/>
        <v>0</v>
      </c>
      <c r="AU74" t="e">
        <f t="shared" si="134"/>
        <v>#VALUE!</v>
      </c>
      <c r="AW74">
        <f t="shared" si="70"/>
        <v>0</v>
      </c>
      <c r="AX74" s="15" t="e">
        <f t="shared" si="71"/>
        <v>#VALUE!</v>
      </c>
      <c r="AY74" s="15" t="e">
        <f>SUM(AY75+AY78+AY83+AY90)</f>
        <v>#VALUE!</v>
      </c>
    </row>
    <row r="75" spans="1:51" ht="12.75">
      <c r="A75" s="1" t="s">
        <v>53</v>
      </c>
      <c r="B75" s="3"/>
      <c r="C75" s="144">
        <f>SUM(C76:C77)</f>
        <v>0.0023428675002141303</v>
      </c>
      <c r="D75" s="163"/>
      <c r="E75" s="5">
        <f>SUM(E76:E77)</f>
        <v>102.5459062349201</v>
      </c>
      <c r="F75" s="3"/>
      <c r="G75" s="6" t="e">
        <f>SUM(G76:G77)</f>
        <v>#VALUE!</v>
      </c>
      <c r="H75" s="226"/>
      <c r="I75" s="226"/>
      <c r="J75" s="13">
        <f t="shared" si="135"/>
        <v>0</v>
      </c>
      <c r="K75" s="148"/>
      <c r="L75" s="133"/>
      <c r="M75" s="133"/>
      <c r="N75" s="133"/>
      <c r="P75" s="15"/>
      <c r="Q75" s="5"/>
      <c r="T75" s="15">
        <f t="shared" si="108"/>
        <v>0</v>
      </c>
      <c r="U75" s="15">
        <f t="shared" si="109"/>
        <v>0</v>
      </c>
      <c r="V75" s="15" t="e">
        <f aca="true" t="shared" si="137" ref="V75:V110">$V$7/$U$7*U75</f>
        <v>#VALUE!</v>
      </c>
      <c r="W75" s="16">
        <f t="shared" si="110"/>
        <v>0</v>
      </c>
      <c r="X75">
        <f t="shared" si="111"/>
        <v>0</v>
      </c>
      <c r="Y75">
        <f t="shared" si="112"/>
        <v>0</v>
      </c>
      <c r="Z75">
        <f t="shared" si="113"/>
        <v>0</v>
      </c>
      <c r="AA75" t="e">
        <f t="shared" si="114"/>
        <v>#VALUE!</v>
      </c>
      <c r="AB75">
        <f t="shared" si="115"/>
        <v>0</v>
      </c>
      <c r="AC75">
        <f t="shared" si="116"/>
        <v>0</v>
      </c>
      <c r="AD75">
        <f t="shared" si="117"/>
        <v>0</v>
      </c>
      <c r="AE75" s="15">
        <f t="shared" si="118"/>
        <v>0</v>
      </c>
      <c r="AF75" t="e">
        <f t="shared" si="119"/>
        <v>#VALUE!</v>
      </c>
      <c r="AG75">
        <f t="shared" si="120"/>
        <v>0</v>
      </c>
      <c r="AH75">
        <f t="shared" si="121"/>
        <v>0</v>
      </c>
      <c r="AI75">
        <f t="shared" si="122"/>
        <v>0</v>
      </c>
      <c r="AJ75" s="15">
        <f t="shared" si="123"/>
        <v>0</v>
      </c>
      <c r="AK75" t="e">
        <f t="shared" si="124"/>
        <v>#VALUE!</v>
      </c>
      <c r="AL75">
        <f t="shared" si="125"/>
        <v>0</v>
      </c>
      <c r="AM75">
        <f t="shared" si="126"/>
        <v>0</v>
      </c>
      <c r="AN75">
        <f t="shared" si="127"/>
        <v>0</v>
      </c>
      <c r="AO75" s="15">
        <f t="shared" si="128"/>
        <v>0</v>
      </c>
      <c r="AP75" t="e">
        <f t="shared" si="129"/>
        <v>#VALUE!</v>
      </c>
      <c r="AQ75">
        <f t="shared" si="130"/>
        <v>0</v>
      </c>
      <c r="AR75">
        <f t="shared" si="131"/>
        <v>0</v>
      </c>
      <c r="AS75">
        <f t="shared" si="132"/>
        <v>0</v>
      </c>
      <c r="AT75" s="15">
        <f t="shared" si="133"/>
        <v>0</v>
      </c>
      <c r="AU75" t="e">
        <f t="shared" si="134"/>
        <v>#VALUE!</v>
      </c>
      <c r="AW75">
        <f aca="true" t="shared" si="138" ref="AW75:AW106">AS75</f>
        <v>0</v>
      </c>
      <c r="AX75" s="15" t="e">
        <f aca="true" t="shared" si="139" ref="AX75:AX106">AU75</f>
        <v>#VALUE!</v>
      </c>
      <c r="AY75" s="15" t="e">
        <f>SUM(AW76:AX77)</f>
        <v>#VALUE!</v>
      </c>
    </row>
    <row r="76" spans="1:51" ht="12.75">
      <c r="A76" s="1" t="s">
        <v>262</v>
      </c>
      <c r="B76" s="1" t="s">
        <v>136</v>
      </c>
      <c r="C76" s="144">
        <v>0.0005949772437923547</v>
      </c>
      <c r="D76" s="163">
        <v>0.20014139325139046</v>
      </c>
      <c r="E76" s="5">
        <f>F76*$D76</f>
        <v>62.19393795286959</v>
      </c>
      <c r="F76" s="5">
        <v>310.75</v>
      </c>
      <c r="G76" s="6">
        <f>H76*$D76</f>
        <v>1.57324179679415</v>
      </c>
      <c r="H76" s="226">
        <v>7.86065176841283</v>
      </c>
      <c r="I76" s="226">
        <v>7.86065176841283</v>
      </c>
      <c r="J76" s="13">
        <v>853.9600000000028</v>
      </c>
      <c r="K76" s="148">
        <v>0.0005949772437923547</v>
      </c>
      <c r="L76" s="133">
        <v>0.0009268919744816424</v>
      </c>
      <c r="M76" s="133">
        <v>1078.874375365309</v>
      </c>
      <c r="N76" s="133">
        <v>0.03818974260692194</v>
      </c>
      <c r="O76" s="15" t="e">
        <f aca="true" t="shared" si="140" ref="O76:O91">N76*$O$7</f>
        <v>#VALUE!</v>
      </c>
      <c r="P76" s="15" t="e">
        <f t="shared" si="136"/>
        <v>#VALUE!</v>
      </c>
      <c r="Q76" s="5">
        <v>0.20014139325139046</v>
      </c>
      <c r="R76" s="15" t="e">
        <f aca="true" t="shared" si="141" ref="R76:R91">IF(P76&lt;Q76,P76*H76,0)</f>
        <v>#VALUE!</v>
      </c>
      <c r="S76" s="15" t="e">
        <f aca="true" t="shared" si="142" ref="S76:S91">IF(P76&lt;Q76,P66:P76,0)</f>
        <v>#VALUE!</v>
      </c>
      <c r="T76" s="15" t="e">
        <f aca="true" t="shared" si="143" ref="T76:T91">IF(S76=0,Q76*I76,0)</f>
        <v>#VALUE!</v>
      </c>
      <c r="U76" s="15" t="e">
        <f aca="true" t="shared" si="144" ref="U76:U91">IF(S76=0,0,S76*I76)</f>
        <v>#VALUE!</v>
      </c>
      <c r="V76" s="15" t="e">
        <f t="shared" si="137"/>
        <v>#VALUE!</v>
      </c>
      <c r="W76" s="16" t="e">
        <f aca="true" t="shared" si="145" ref="W76:W91">IF(I76=0,0,V76/I76)</f>
        <v>#VALUE!</v>
      </c>
      <c r="X76" t="e">
        <f aca="true" t="shared" si="146" ref="X76:X91">IF(W76&lt;Q76,W76,0)</f>
        <v>#VALUE!</v>
      </c>
      <c r="Y76" t="e">
        <f aca="true" t="shared" si="147" ref="Y76:Y91">IF(X76=0,Q76*I76,0)</f>
        <v>#VALUE!</v>
      </c>
      <c r="Z76" t="e">
        <f aca="true" t="shared" si="148" ref="Z76:Z91">IF(X76=0,0,I76*X76)</f>
        <v>#VALUE!</v>
      </c>
      <c r="AA76" t="e">
        <f aca="true" t="shared" si="149" ref="AA76:AA91">$AA$7/$Z$7*Z76</f>
        <v>#VALUE!</v>
      </c>
      <c r="AB76" t="e">
        <f aca="true" t="shared" si="150" ref="AB76:AB91">IF(I76=0,0,AA76/I76)</f>
        <v>#VALUE!</v>
      </c>
      <c r="AC76" t="e">
        <f aca="true" t="shared" si="151" ref="AC76:AC91">IF(AB76&lt;Q76,AB76,0)</f>
        <v>#VALUE!</v>
      </c>
      <c r="AD76" t="e">
        <f aca="true" t="shared" si="152" ref="AD76:AD91">IF(AC76=0,$Q76*$I76,0)</f>
        <v>#VALUE!</v>
      </c>
      <c r="AE76" s="15" t="e">
        <f aca="true" t="shared" si="153" ref="AE76:AE91">IF(AC76=0,0,AC76*$I76)</f>
        <v>#VALUE!</v>
      </c>
      <c r="AF76" t="e">
        <f aca="true" t="shared" si="154" ref="AF76:AF91">$AF$7/$AE$7*AE76</f>
        <v>#VALUE!</v>
      </c>
      <c r="AG76" t="e">
        <f aca="true" t="shared" si="155" ref="AG76:AG91">IF($I76=0,0,AF76/$I76)</f>
        <v>#VALUE!</v>
      </c>
      <c r="AH76" t="e">
        <f aca="true" t="shared" si="156" ref="AH76:AH91">IF(AG76&lt;$Q76,AG76,0)</f>
        <v>#VALUE!</v>
      </c>
      <c r="AI76" t="e">
        <f aca="true" t="shared" si="157" ref="AI76:AI91">IF(AH76=0,$Q76*$I76,0)</f>
        <v>#VALUE!</v>
      </c>
      <c r="AJ76" s="15" t="e">
        <f aca="true" t="shared" si="158" ref="AJ76:AJ91">IF(AH76=0,0,AH76*$I76)</f>
        <v>#VALUE!</v>
      </c>
      <c r="AK76" t="e">
        <f aca="true" t="shared" si="159" ref="AK76:AK91">$AK$7/$AJ$7*AJ76</f>
        <v>#VALUE!</v>
      </c>
      <c r="AL76" t="e">
        <f aca="true" t="shared" si="160" ref="AL76:AL91">IF($I76=0,0,AK76/$I76)</f>
        <v>#VALUE!</v>
      </c>
      <c r="AM76" t="e">
        <f aca="true" t="shared" si="161" ref="AM76:AM91">IF(AL76&lt;$Q76,AL76,0)</f>
        <v>#VALUE!</v>
      </c>
      <c r="AN76" t="e">
        <f aca="true" t="shared" si="162" ref="AN76:AN91">IF(AM76=0,$Q76*$I76,0)</f>
        <v>#VALUE!</v>
      </c>
      <c r="AO76" s="15" t="e">
        <f aca="true" t="shared" si="163" ref="AO76:AO91">IF(AM76=0,0,AM76*$I76)</f>
        <v>#VALUE!</v>
      </c>
      <c r="AP76" t="e">
        <f aca="true" t="shared" si="164" ref="AP76:AP91">$AP$7/$AO$7*AO76</f>
        <v>#VALUE!</v>
      </c>
      <c r="AQ76" t="e">
        <f aca="true" t="shared" si="165" ref="AQ76:AQ91">IF($I76=0,0,AP76/$I76)</f>
        <v>#VALUE!</v>
      </c>
      <c r="AR76" t="e">
        <f aca="true" t="shared" si="166" ref="AR76:AR91">IF(AQ76&lt;$Q76,AQ76,0)</f>
        <v>#VALUE!</v>
      </c>
      <c r="AS76" t="e">
        <f aca="true" t="shared" si="167" ref="AS76:AS91">IF(AR76=0,$Q76*$I76,0)</f>
        <v>#VALUE!</v>
      </c>
      <c r="AT76" s="15" t="e">
        <f aca="true" t="shared" si="168" ref="AT76:AT91">IF(AR76=0,0,AR76*$I76)</f>
        <v>#VALUE!</v>
      </c>
      <c r="AU76" t="e">
        <f aca="true" t="shared" si="169" ref="AU76:AU91">$AU$7/$AT$7*AT76</f>
        <v>#VALUE!</v>
      </c>
      <c r="AW76" t="e">
        <f t="shared" si="138"/>
        <v>#VALUE!</v>
      </c>
      <c r="AX76" s="15" t="e">
        <f t="shared" si="139"/>
        <v>#VALUE!</v>
      </c>
      <c r="AY76" s="15"/>
    </row>
    <row r="77" spans="1:51" ht="12.75">
      <c r="A77" s="1" t="s">
        <v>238</v>
      </c>
      <c r="B77" s="1" t="s">
        <v>136</v>
      </c>
      <c r="C77" s="144">
        <v>0.0017478902564217755</v>
      </c>
      <c r="D77" s="163">
        <v>0.5879639848761548</v>
      </c>
      <c r="E77" s="5">
        <f>F77*$D77</f>
        <v>40.3519682820505</v>
      </c>
      <c r="F77" s="5">
        <v>68.63</v>
      </c>
      <c r="G77" s="6" t="e">
        <f>H77*$D77</f>
        <v>#VALUE!</v>
      </c>
      <c r="H77" s="227" t="s">
        <v>364</v>
      </c>
      <c r="I77" s="227" t="s">
        <v>364</v>
      </c>
      <c r="J77" s="13" t="s">
        <v>137</v>
      </c>
      <c r="K77" s="148">
        <v>0.0017478902564217755</v>
      </c>
      <c r="L77" s="133">
        <v>0.002722970446105693</v>
      </c>
      <c r="M77" s="133">
        <v>367.2459983655602</v>
      </c>
      <c r="N77" s="133">
        <v>0.012999687888827572</v>
      </c>
      <c r="O77" s="15" t="e">
        <f t="shared" si="140"/>
        <v>#VALUE!</v>
      </c>
      <c r="P77" s="15" t="e">
        <f t="shared" si="136"/>
        <v>#VALUE!</v>
      </c>
      <c r="Q77" s="5">
        <v>0.5879639848761548</v>
      </c>
      <c r="R77" s="15" t="e">
        <f t="shared" si="141"/>
        <v>#VALUE!</v>
      </c>
      <c r="S77" s="15" t="e">
        <f t="shared" si="142"/>
        <v>#VALUE!</v>
      </c>
      <c r="T77" s="15" t="e">
        <f t="shared" si="143"/>
        <v>#VALUE!</v>
      </c>
      <c r="U77" s="15" t="e">
        <f t="shared" si="144"/>
        <v>#VALUE!</v>
      </c>
      <c r="V77" s="15" t="e">
        <f t="shared" si="137"/>
        <v>#VALUE!</v>
      </c>
      <c r="W77" s="16" t="e">
        <f t="shared" si="145"/>
        <v>#VALUE!</v>
      </c>
      <c r="X77" t="e">
        <f t="shared" si="146"/>
        <v>#VALUE!</v>
      </c>
      <c r="Y77" t="e">
        <f t="shared" si="147"/>
        <v>#VALUE!</v>
      </c>
      <c r="Z77" t="e">
        <f t="shared" si="148"/>
        <v>#VALUE!</v>
      </c>
      <c r="AA77" t="e">
        <f t="shared" si="149"/>
        <v>#VALUE!</v>
      </c>
      <c r="AB77" t="e">
        <f t="shared" si="150"/>
        <v>#VALUE!</v>
      </c>
      <c r="AC77" t="e">
        <f t="shared" si="151"/>
        <v>#VALUE!</v>
      </c>
      <c r="AD77" t="e">
        <f t="shared" si="152"/>
        <v>#VALUE!</v>
      </c>
      <c r="AE77" s="15" t="e">
        <f t="shared" si="153"/>
        <v>#VALUE!</v>
      </c>
      <c r="AF77" t="e">
        <f t="shared" si="154"/>
        <v>#VALUE!</v>
      </c>
      <c r="AG77" t="e">
        <f t="shared" si="155"/>
        <v>#VALUE!</v>
      </c>
      <c r="AH77" t="e">
        <f t="shared" si="156"/>
        <v>#VALUE!</v>
      </c>
      <c r="AI77" t="e">
        <f t="shared" si="157"/>
        <v>#VALUE!</v>
      </c>
      <c r="AJ77" s="15" t="e">
        <f t="shared" si="158"/>
        <v>#VALUE!</v>
      </c>
      <c r="AK77" t="e">
        <f t="shared" si="159"/>
        <v>#VALUE!</v>
      </c>
      <c r="AL77" t="e">
        <f t="shared" si="160"/>
        <v>#VALUE!</v>
      </c>
      <c r="AM77" t="e">
        <f t="shared" si="161"/>
        <v>#VALUE!</v>
      </c>
      <c r="AN77" t="e">
        <f t="shared" si="162"/>
        <v>#VALUE!</v>
      </c>
      <c r="AO77" s="15" t="e">
        <f t="shared" si="163"/>
        <v>#VALUE!</v>
      </c>
      <c r="AP77" t="e">
        <f t="shared" si="164"/>
        <v>#VALUE!</v>
      </c>
      <c r="AQ77" t="e">
        <f t="shared" si="165"/>
        <v>#VALUE!</v>
      </c>
      <c r="AR77" t="e">
        <f t="shared" si="166"/>
        <v>#VALUE!</v>
      </c>
      <c r="AS77" t="e">
        <f t="shared" si="167"/>
        <v>#VALUE!</v>
      </c>
      <c r="AT77" s="15" t="e">
        <f t="shared" si="168"/>
        <v>#VALUE!</v>
      </c>
      <c r="AU77" t="e">
        <f t="shared" si="169"/>
        <v>#VALUE!</v>
      </c>
      <c r="AW77" t="e">
        <f t="shared" si="138"/>
        <v>#VALUE!</v>
      </c>
      <c r="AX77" s="15" t="e">
        <f t="shared" si="139"/>
        <v>#VALUE!</v>
      </c>
      <c r="AY77" s="15"/>
    </row>
    <row r="78" spans="1:52" ht="12.75">
      <c r="A78" s="1" t="s">
        <v>54</v>
      </c>
      <c r="B78" s="4"/>
      <c r="C78" s="144">
        <f>SUM(C79:C82)</f>
        <v>0.0021206631478821987</v>
      </c>
      <c r="D78" s="163"/>
      <c r="E78" s="5">
        <f>SUM(E79:E82)</f>
        <v>407.4255409263455</v>
      </c>
      <c r="F78" s="3"/>
      <c r="G78" s="6">
        <f>SUM(G79:G82)</f>
        <v>12.919765350153414</v>
      </c>
      <c r="H78" s="226"/>
      <c r="I78" s="226"/>
      <c r="J78" s="13">
        <f aca="true" t="shared" si="170" ref="J78:J101">I78-H78</f>
        <v>0</v>
      </c>
      <c r="K78" s="148"/>
      <c r="L78" s="133"/>
      <c r="M78" s="133"/>
      <c r="N78" s="133"/>
      <c r="P78" s="15"/>
      <c r="Q78" s="5"/>
      <c r="T78" s="15">
        <f t="shared" si="143"/>
        <v>0</v>
      </c>
      <c r="U78" s="15">
        <f t="shared" si="144"/>
        <v>0</v>
      </c>
      <c r="V78" s="15" t="e">
        <f t="shared" si="137"/>
        <v>#VALUE!</v>
      </c>
      <c r="W78" s="16">
        <f t="shared" si="145"/>
        <v>0</v>
      </c>
      <c r="X78">
        <f t="shared" si="146"/>
        <v>0</v>
      </c>
      <c r="Y78">
        <f t="shared" si="147"/>
        <v>0</v>
      </c>
      <c r="Z78">
        <f t="shared" si="148"/>
        <v>0</v>
      </c>
      <c r="AA78" t="e">
        <f t="shared" si="149"/>
        <v>#VALUE!</v>
      </c>
      <c r="AB78">
        <f t="shared" si="150"/>
        <v>0</v>
      </c>
      <c r="AC78">
        <f t="shared" si="151"/>
        <v>0</v>
      </c>
      <c r="AD78">
        <f t="shared" si="152"/>
        <v>0</v>
      </c>
      <c r="AE78" s="15">
        <f t="shared" si="153"/>
        <v>0</v>
      </c>
      <c r="AF78" t="e">
        <f t="shared" si="154"/>
        <v>#VALUE!</v>
      </c>
      <c r="AG78">
        <f t="shared" si="155"/>
        <v>0</v>
      </c>
      <c r="AH78">
        <f t="shared" si="156"/>
        <v>0</v>
      </c>
      <c r="AI78">
        <f t="shared" si="157"/>
        <v>0</v>
      </c>
      <c r="AJ78" s="15">
        <f t="shared" si="158"/>
        <v>0</v>
      </c>
      <c r="AK78" t="e">
        <f t="shared" si="159"/>
        <v>#VALUE!</v>
      </c>
      <c r="AL78">
        <f t="shared" si="160"/>
        <v>0</v>
      </c>
      <c r="AM78">
        <f t="shared" si="161"/>
        <v>0</v>
      </c>
      <c r="AN78">
        <f t="shared" si="162"/>
        <v>0</v>
      </c>
      <c r="AO78" s="15">
        <f t="shared" si="163"/>
        <v>0</v>
      </c>
      <c r="AP78" t="e">
        <f t="shared" si="164"/>
        <v>#VALUE!</v>
      </c>
      <c r="AQ78">
        <f t="shared" si="165"/>
        <v>0</v>
      </c>
      <c r="AR78">
        <f t="shared" si="166"/>
        <v>0</v>
      </c>
      <c r="AS78">
        <f t="shared" si="167"/>
        <v>0</v>
      </c>
      <c r="AT78" s="15">
        <f t="shared" si="168"/>
        <v>0</v>
      </c>
      <c r="AU78" t="e">
        <f t="shared" si="169"/>
        <v>#VALUE!</v>
      </c>
      <c r="AW78">
        <f t="shared" si="138"/>
        <v>0</v>
      </c>
      <c r="AX78" s="15" t="e">
        <f t="shared" si="139"/>
        <v>#VALUE!</v>
      </c>
      <c r="AY78" s="15" t="e">
        <f>SUM(AW79:AX82)</f>
        <v>#VALUE!</v>
      </c>
      <c r="AZ78" t="s">
        <v>0</v>
      </c>
    </row>
    <row r="79" spans="1:51" ht="12.75">
      <c r="A79" s="1" t="s">
        <v>55</v>
      </c>
      <c r="B79" s="1" t="s">
        <v>127</v>
      </c>
      <c r="C79" s="144">
        <v>0.0006042499033507397</v>
      </c>
      <c r="D79" s="163">
        <v>0.20326057641767753</v>
      </c>
      <c r="E79" s="5">
        <f>F79*$D79</f>
        <v>100.27605448481536</v>
      </c>
      <c r="F79" s="5">
        <v>493.33745014458384</v>
      </c>
      <c r="G79" s="6">
        <f>H79*$D79</f>
        <v>4.104162960315811</v>
      </c>
      <c r="H79" s="226">
        <v>20.19163298977476</v>
      </c>
      <c r="I79" s="226">
        <v>20.19163298977476</v>
      </c>
      <c r="J79" s="13">
        <f t="shared" si="170"/>
        <v>0</v>
      </c>
      <c r="K79" s="148">
        <v>0.0006042499033507397</v>
      </c>
      <c r="L79" s="133">
        <v>0.0009413374912076016</v>
      </c>
      <c r="M79" s="133">
        <v>1062.3182539103407</v>
      </c>
      <c r="N79" s="133">
        <v>0.03760369289495238</v>
      </c>
      <c r="O79" s="15" t="e">
        <f t="shared" si="140"/>
        <v>#VALUE!</v>
      </c>
      <c r="P79" s="15" t="e">
        <f t="shared" si="136"/>
        <v>#VALUE!</v>
      </c>
      <c r="Q79" s="5">
        <v>0.20326057641767753</v>
      </c>
      <c r="R79" s="15" t="e">
        <f t="shared" si="141"/>
        <v>#VALUE!</v>
      </c>
      <c r="S79" s="15" t="e">
        <f t="shared" si="142"/>
        <v>#VALUE!</v>
      </c>
      <c r="T79" s="15" t="e">
        <f t="shared" si="143"/>
        <v>#VALUE!</v>
      </c>
      <c r="U79" s="15" t="e">
        <f t="shared" si="144"/>
        <v>#VALUE!</v>
      </c>
      <c r="V79" s="15" t="e">
        <f t="shared" si="137"/>
        <v>#VALUE!</v>
      </c>
      <c r="W79" s="16" t="e">
        <f t="shared" si="145"/>
        <v>#VALUE!</v>
      </c>
      <c r="X79" t="e">
        <f t="shared" si="146"/>
        <v>#VALUE!</v>
      </c>
      <c r="Y79" t="e">
        <f t="shared" si="147"/>
        <v>#VALUE!</v>
      </c>
      <c r="Z79" t="e">
        <f t="shared" si="148"/>
        <v>#VALUE!</v>
      </c>
      <c r="AA79" t="e">
        <f t="shared" si="149"/>
        <v>#VALUE!</v>
      </c>
      <c r="AB79" t="e">
        <f t="shared" si="150"/>
        <v>#VALUE!</v>
      </c>
      <c r="AC79" t="e">
        <f t="shared" si="151"/>
        <v>#VALUE!</v>
      </c>
      <c r="AD79" t="e">
        <f t="shared" si="152"/>
        <v>#VALUE!</v>
      </c>
      <c r="AE79" s="15" t="e">
        <f t="shared" si="153"/>
        <v>#VALUE!</v>
      </c>
      <c r="AF79" t="e">
        <f t="shared" si="154"/>
        <v>#VALUE!</v>
      </c>
      <c r="AG79" t="e">
        <f t="shared" si="155"/>
        <v>#VALUE!</v>
      </c>
      <c r="AH79" t="e">
        <f t="shared" si="156"/>
        <v>#VALUE!</v>
      </c>
      <c r="AI79" t="e">
        <f t="shared" si="157"/>
        <v>#VALUE!</v>
      </c>
      <c r="AJ79" s="15" t="e">
        <f t="shared" si="158"/>
        <v>#VALUE!</v>
      </c>
      <c r="AK79" t="e">
        <f t="shared" si="159"/>
        <v>#VALUE!</v>
      </c>
      <c r="AL79" t="e">
        <f t="shared" si="160"/>
        <v>#VALUE!</v>
      </c>
      <c r="AM79" t="e">
        <f t="shared" si="161"/>
        <v>#VALUE!</v>
      </c>
      <c r="AN79" t="e">
        <f t="shared" si="162"/>
        <v>#VALUE!</v>
      </c>
      <c r="AO79" s="15" t="e">
        <f t="shared" si="163"/>
        <v>#VALUE!</v>
      </c>
      <c r="AP79" t="e">
        <f t="shared" si="164"/>
        <v>#VALUE!</v>
      </c>
      <c r="AQ79" t="e">
        <f t="shared" si="165"/>
        <v>#VALUE!</v>
      </c>
      <c r="AR79" t="e">
        <f t="shared" si="166"/>
        <v>#VALUE!</v>
      </c>
      <c r="AS79" t="e">
        <f t="shared" si="167"/>
        <v>#VALUE!</v>
      </c>
      <c r="AT79" s="15" t="e">
        <f t="shared" si="168"/>
        <v>#VALUE!</v>
      </c>
      <c r="AU79" t="e">
        <f t="shared" si="169"/>
        <v>#VALUE!</v>
      </c>
      <c r="AW79" t="e">
        <f t="shared" si="138"/>
        <v>#VALUE!</v>
      </c>
      <c r="AX79" s="15" t="e">
        <f t="shared" si="139"/>
        <v>#VALUE!</v>
      </c>
      <c r="AY79" s="15"/>
    </row>
    <row r="80" spans="1:51" ht="12.75">
      <c r="A80" s="1" t="s">
        <v>56</v>
      </c>
      <c r="B80" s="1" t="s">
        <v>127</v>
      </c>
      <c r="C80" s="144">
        <v>0.0004849513313259625</v>
      </c>
      <c r="D80" s="163">
        <v>0.16313033166116864</v>
      </c>
      <c r="E80" s="5">
        <f>F80*$D80</f>
        <v>17.4136173885393</v>
      </c>
      <c r="F80" s="5">
        <v>106.74665594813119</v>
      </c>
      <c r="G80" s="6">
        <f>H80*$D80</f>
        <v>0.32353542238465216</v>
      </c>
      <c r="H80" s="226">
        <v>1.98329408816905</v>
      </c>
      <c r="I80" s="226">
        <v>1.98329408816905</v>
      </c>
      <c r="J80" s="13">
        <f t="shared" si="170"/>
        <v>0</v>
      </c>
      <c r="K80" s="148">
        <v>0.0004849513313259625</v>
      </c>
      <c r="L80" s="133">
        <v>0.0007554868723300212</v>
      </c>
      <c r="M80" s="133">
        <v>1323.6497371765945</v>
      </c>
      <c r="N80" s="133">
        <v>0.04685424356971843</v>
      </c>
      <c r="O80" s="15" t="e">
        <f t="shared" si="140"/>
        <v>#VALUE!</v>
      </c>
      <c r="P80" s="15" t="e">
        <f t="shared" si="136"/>
        <v>#VALUE!</v>
      </c>
      <c r="Q80" s="5">
        <v>0.16313033166116864</v>
      </c>
      <c r="R80" s="15" t="e">
        <f t="shared" si="141"/>
        <v>#VALUE!</v>
      </c>
      <c r="S80" s="15" t="e">
        <f t="shared" si="142"/>
        <v>#VALUE!</v>
      </c>
      <c r="T80" s="15" t="e">
        <f t="shared" si="143"/>
        <v>#VALUE!</v>
      </c>
      <c r="U80" s="15" t="e">
        <f t="shared" si="144"/>
        <v>#VALUE!</v>
      </c>
      <c r="V80" s="15" t="e">
        <f t="shared" si="137"/>
        <v>#VALUE!</v>
      </c>
      <c r="W80" s="16" t="e">
        <f t="shared" si="145"/>
        <v>#VALUE!</v>
      </c>
      <c r="X80" t="e">
        <f t="shared" si="146"/>
        <v>#VALUE!</v>
      </c>
      <c r="Y80" t="e">
        <f t="shared" si="147"/>
        <v>#VALUE!</v>
      </c>
      <c r="Z80" t="e">
        <f t="shared" si="148"/>
        <v>#VALUE!</v>
      </c>
      <c r="AA80" t="e">
        <f t="shared" si="149"/>
        <v>#VALUE!</v>
      </c>
      <c r="AB80" t="e">
        <f t="shared" si="150"/>
        <v>#VALUE!</v>
      </c>
      <c r="AC80" t="e">
        <f t="shared" si="151"/>
        <v>#VALUE!</v>
      </c>
      <c r="AD80" t="e">
        <f t="shared" si="152"/>
        <v>#VALUE!</v>
      </c>
      <c r="AE80" s="15" t="e">
        <f t="shared" si="153"/>
        <v>#VALUE!</v>
      </c>
      <c r="AF80" t="e">
        <f t="shared" si="154"/>
        <v>#VALUE!</v>
      </c>
      <c r="AG80" t="e">
        <f t="shared" si="155"/>
        <v>#VALUE!</v>
      </c>
      <c r="AH80" t="e">
        <f t="shared" si="156"/>
        <v>#VALUE!</v>
      </c>
      <c r="AI80" t="e">
        <f t="shared" si="157"/>
        <v>#VALUE!</v>
      </c>
      <c r="AJ80" s="15" t="e">
        <f t="shared" si="158"/>
        <v>#VALUE!</v>
      </c>
      <c r="AK80" t="e">
        <f t="shared" si="159"/>
        <v>#VALUE!</v>
      </c>
      <c r="AL80" t="e">
        <f t="shared" si="160"/>
        <v>#VALUE!</v>
      </c>
      <c r="AM80" t="e">
        <f t="shared" si="161"/>
        <v>#VALUE!</v>
      </c>
      <c r="AN80" t="e">
        <f t="shared" si="162"/>
        <v>#VALUE!</v>
      </c>
      <c r="AO80" s="15" t="e">
        <f t="shared" si="163"/>
        <v>#VALUE!</v>
      </c>
      <c r="AP80" t="e">
        <f t="shared" si="164"/>
        <v>#VALUE!</v>
      </c>
      <c r="AQ80" t="e">
        <f t="shared" si="165"/>
        <v>#VALUE!</v>
      </c>
      <c r="AR80" t="e">
        <f t="shared" si="166"/>
        <v>#VALUE!</v>
      </c>
      <c r="AS80" t="e">
        <f t="shared" si="167"/>
        <v>#VALUE!</v>
      </c>
      <c r="AT80" s="15" t="e">
        <f t="shared" si="168"/>
        <v>#VALUE!</v>
      </c>
      <c r="AU80" t="e">
        <f t="shared" si="169"/>
        <v>#VALUE!</v>
      </c>
      <c r="AW80" t="e">
        <f t="shared" si="138"/>
        <v>#VALUE!</v>
      </c>
      <c r="AX80" s="15" t="e">
        <f t="shared" si="139"/>
        <v>#VALUE!</v>
      </c>
      <c r="AY80" s="15"/>
    </row>
    <row r="81" spans="1:51" ht="12.75">
      <c r="A81" s="1" t="s">
        <v>239</v>
      </c>
      <c r="B81" s="1" t="s">
        <v>127</v>
      </c>
      <c r="C81" s="144">
        <v>0.0006213931419763836</v>
      </c>
      <c r="D81" s="163">
        <v>0.20902730396763886</v>
      </c>
      <c r="E81" s="5">
        <f>F81*$D81</f>
        <v>155.74609197039356</v>
      </c>
      <c r="F81" s="5">
        <v>745.0992717894205</v>
      </c>
      <c r="G81" s="6">
        <f>H81*$D81</f>
        <v>4.234687150480218</v>
      </c>
      <c r="H81" s="226">
        <v>20.25901434932071</v>
      </c>
      <c r="I81" s="226">
        <v>20.25901434932071</v>
      </c>
      <c r="J81" s="13">
        <f t="shared" si="170"/>
        <v>0</v>
      </c>
      <c r="K81" s="148">
        <v>0.0006213931419763836</v>
      </c>
      <c r="L81" s="133">
        <v>0.0009680442778360304</v>
      </c>
      <c r="M81" s="133">
        <v>1033.010599716992</v>
      </c>
      <c r="N81" s="133">
        <v>0.03656626741186248</v>
      </c>
      <c r="O81" s="15" t="e">
        <f t="shared" si="140"/>
        <v>#VALUE!</v>
      </c>
      <c r="P81" s="15" t="e">
        <f t="shared" si="136"/>
        <v>#VALUE!</v>
      </c>
      <c r="Q81" s="5">
        <v>0.20902730396763886</v>
      </c>
      <c r="R81" s="15" t="e">
        <f t="shared" si="141"/>
        <v>#VALUE!</v>
      </c>
      <c r="S81" s="15" t="e">
        <f t="shared" si="142"/>
        <v>#VALUE!</v>
      </c>
      <c r="T81" s="15" t="e">
        <f t="shared" si="143"/>
        <v>#VALUE!</v>
      </c>
      <c r="U81" s="15" t="e">
        <f t="shared" si="144"/>
        <v>#VALUE!</v>
      </c>
      <c r="V81" s="15" t="e">
        <f t="shared" si="137"/>
        <v>#VALUE!</v>
      </c>
      <c r="W81" s="16" t="e">
        <f t="shared" si="145"/>
        <v>#VALUE!</v>
      </c>
      <c r="X81" t="e">
        <f t="shared" si="146"/>
        <v>#VALUE!</v>
      </c>
      <c r="Y81" t="e">
        <f t="shared" si="147"/>
        <v>#VALUE!</v>
      </c>
      <c r="Z81" t="e">
        <f t="shared" si="148"/>
        <v>#VALUE!</v>
      </c>
      <c r="AA81" t="e">
        <f t="shared" si="149"/>
        <v>#VALUE!</v>
      </c>
      <c r="AB81" t="e">
        <f t="shared" si="150"/>
        <v>#VALUE!</v>
      </c>
      <c r="AC81" t="e">
        <f t="shared" si="151"/>
        <v>#VALUE!</v>
      </c>
      <c r="AD81" t="e">
        <f t="shared" si="152"/>
        <v>#VALUE!</v>
      </c>
      <c r="AE81" s="15" t="e">
        <f t="shared" si="153"/>
        <v>#VALUE!</v>
      </c>
      <c r="AF81" t="e">
        <f t="shared" si="154"/>
        <v>#VALUE!</v>
      </c>
      <c r="AG81" t="e">
        <f t="shared" si="155"/>
        <v>#VALUE!</v>
      </c>
      <c r="AH81" t="e">
        <f t="shared" si="156"/>
        <v>#VALUE!</v>
      </c>
      <c r="AI81" t="e">
        <f t="shared" si="157"/>
        <v>#VALUE!</v>
      </c>
      <c r="AJ81" s="15" t="e">
        <f t="shared" si="158"/>
        <v>#VALUE!</v>
      </c>
      <c r="AK81" t="e">
        <f t="shared" si="159"/>
        <v>#VALUE!</v>
      </c>
      <c r="AL81" t="e">
        <f t="shared" si="160"/>
        <v>#VALUE!</v>
      </c>
      <c r="AM81" t="e">
        <f t="shared" si="161"/>
        <v>#VALUE!</v>
      </c>
      <c r="AN81" t="e">
        <f t="shared" si="162"/>
        <v>#VALUE!</v>
      </c>
      <c r="AO81" s="15" t="e">
        <f t="shared" si="163"/>
        <v>#VALUE!</v>
      </c>
      <c r="AP81" t="e">
        <f t="shared" si="164"/>
        <v>#VALUE!</v>
      </c>
      <c r="AQ81" t="e">
        <f t="shared" si="165"/>
        <v>#VALUE!</v>
      </c>
      <c r="AR81" t="e">
        <f t="shared" si="166"/>
        <v>#VALUE!</v>
      </c>
      <c r="AS81" t="e">
        <f t="shared" si="167"/>
        <v>#VALUE!</v>
      </c>
      <c r="AT81" s="15" t="e">
        <f t="shared" si="168"/>
        <v>#VALUE!</v>
      </c>
      <c r="AU81" t="e">
        <f t="shared" si="169"/>
        <v>#VALUE!</v>
      </c>
      <c r="AW81" t="e">
        <f t="shared" si="138"/>
        <v>#VALUE!</v>
      </c>
      <c r="AX81" s="15" t="e">
        <f t="shared" si="139"/>
        <v>#VALUE!</v>
      </c>
      <c r="AY81" s="15"/>
    </row>
    <row r="82" spans="1:51" ht="12.75">
      <c r="A82" s="1" t="s">
        <v>57</v>
      </c>
      <c r="B82" s="1" t="s">
        <v>127</v>
      </c>
      <c r="C82" s="144">
        <v>0.00041006877122911283</v>
      </c>
      <c r="D82" s="163">
        <v>0.13794096506878023</v>
      </c>
      <c r="E82" s="5">
        <f>F82*$D82</f>
        <v>133.9897770825973</v>
      </c>
      <c r="F82" s="5">
        <v>971.3559493786869</v>
      </c>
      <c r="G82" s="6">
        <f>H82*$D82</f>
        <v>4.2573798169727315</v>
      </c>
      <c r="H82" s="226">
        <v>30.86378158112721</v>
      </c>
      <c r="I82" s="226">
        <v>30.86378158112721</v>
      </c>
      <c r="J82" s="13">
        <f t="shared" si="170"/>
        <v>0</v>
      </c>
      <c r="K82" s="148">
        <v>0.00041006877122911283</v>
      </c>
      <c r="L82" s="133">
        <v>0.0006388302359517862</v>
      </c>
      <c r="M82" s="133">
        <v>1565.3610986494887</v>
      </c>
      <c r="N82" s="133">
        <v>0.055410285765727485</v>
      </c>
      <c r="O82" s="15" t="e">
        <f t="shared" si="140"/>
        <v>#VALUE!</v>
      </c>
      <c r="P82" s="15" t="e">
        <f t="shared" si="136"/>
        <v>#VALUE!</v>
      </c>
      <c r="Q82" s="5">
        <v>0.13794096506878023</v>
      </c>
      <c r="R82" s="15" t="e">
        <f t="shared" si="141"/>
        <v>#VALUE!</v>
      </c>
      <c r="S82" s="15" t="e">
        <f t="shared" si="142"/>
        <v>#VALUE!</v>
      </c>
      <c r="T82" s="15" t="e">
        <f t="shared" si="143"/>
        <v>#VALUE!</v>
      </c>
      <c r="U82" s="15" t="e">
        <f t="shared" si="144"/>
        <v>#VALUE!</v>
      </c>
      <c r="V82" s="15" t="e">
        <f t="shared" si="137"/>
        <v>#VALUE!</v>
      </c>
      <c r="W82" s="16" t="e">
        <f t="shared" si="145"/>
        <v>#VALUE!</v>
      </c>
      <c r="X82" t="e">
        <f t="shared" si="146"/>
        <v>#VALUE!</v>
      </c>
      <c r="Y82" t="e">
        <f t="shared" si="147"/>
        <v>#VALUE!</v>
      </c>
      <c r="Z82" t="e">
        <f t="shared" si="148"/>
        <v>#VALUE!</v>
      </c>
      <c r="AA82" t="e">
        <f t="shared" si="149"/>
        <v>#VALUE!</v>
      </c>
      <c r="AB82" t="e">
        <f t="shared" si="150"/>
        <v>#VALUE!</v>
      </c>
      <c r="AC82" t="e">
        <f t="shared" si="151"/>
        <v>#VALUE!</v>
      </c>
      <c r="AD82" t="e">
        <f t="shared" si="152"/>
        <v>#VALUE!</v>
      </c>
      <c r="AE82" s="15" t="e">
        <f t="shared" si="153"/>
        <v>#VALUE!</v>
      </c>
      <c r="AF82" t="e">
        <f t="shared" si="154"/>
        <v>#VALUE!</v>
      </c>
      <c r="AG82" t="e">
        <f t="shared" si="155"/>
        <v>#VALUE!</v>
      </c>
      <c r="AH82" t="e">
        <f t="shared" si="156"/>
        <v>#VALUE!</v>
      </c>
      <c r="AI82" t="e">
        <f t="shared" si="157"/>
        <v>#VALUE!</v>
      </c>
      <c r="AJ82" s="15" t="e">
        <f t="shared" si="158"/>
        <v>#VALUE!</v>
      </c>
      <c r="AK82" t="e">
        <f t="shared" si="159"/>
        <v>#VALUE!</v>
      </c>
      <c r="AL82" t="e">
        <f t="shared" si="160"/>
        <v>#VALUE!</v>
      </c>
      <c r="AM82" t="e">
        <f t="shared" si="161"/>
        <v>#VALUE!</v>
      </c>
      <c r="AN82" t="e">
        <f t="shared" si="162"/>
        <v>#VALUE!</v>
      </c>
      <c r="AO82" s="15" t="e">
        <f t="shared" si="163"/>
        <v>#VALUE!</v>
      </c>
      <c r="AP82" t="e">
        <f t="shared" si="164"/>
        <v>#VALUE!</v>
      </c>
      <c r="AQ82" t="e">
        <f t="shared" si="165"/>
        <v>#VALUE!</v>
      </c>
      <c r="AR82" t="e">
        <f t="shared" si="166"/>
        <v>#VALUE!</v>
      </c>
      <c r="AS82" t="e">
        <f t="shared" si="167"/>
        <v>#VALUE!</v>
      </c>
      <c r="AT82" s="15" t="e">
        <f t="shared" si="168"/>
        <v>#VALUE!</v>
      </c>
      <c r="AU82" t="e">
        <f t="shared" si="169"/>
        <v>#VALUE!</v>
      </c>
      <c r="AW82" t="e">
        <f t="shared" si="138"/>
        <v>#VALUE!</v>
      </c>
      <c r="AX82" s="15" t="e">
        <f t="shared" si="139"/>
        <v>#VALUE!</v>
      </c>
      <c r="AY82" s="15"/>
    </row>
    <row r="83" spans="1:51" ht="12.75">
      <c r="A83" s="1" t="s">
        <v>58</v>
      </c>
      <c r="B83" s="4"/>
      <c r="C83" s="144">
        <f>SUM(C84:C89)</f>
        <v>0.003758333835556585</v>
      </c>
      <c r="D83" s="163"/>
      <c r="E83" s="5">
        <f>SUM(E84:E89)</f>
        <v>314.8412859569794</v>
      </c>
      <c r="F83" s="3"/>
      <c r="G83" s="6">
        <f>SUM(G84:G89)</f>
        <v>9.695043465048656</v>
      </c>
      <c r="H83" s="226"/>
      <c r="I83" s="226"/>
      <c r="J83" s="13">
        <f t="shared" si="170"/>
        <v>0</v>
      </c>
      <c r="K83" s="148"/>
      <c r="L83" s="133"/>
      <c r="M83" s="133"/>
      <c r="N83" s="133"/>
      <c r="P83" s="15"/>
      <c r="Q83" s="5"/>
      <c r="T83" s="15">
        <f t="shared" si="143"/>
        <v>0</v>
      </c>
      <c r="U83" s="15">
        <f t="shared" si="144"/>
        <v>0</v>
      </c>
      <c r="V83" s="15" t="e">
        <f t="shared" si="137"/>
        <v>#VALUE!</v>
      </c>
      <c r="W83" s="16">
        <f t="shared" si="145"/>
        <v>0</v>
      </c>
      <c r="X83">
        <f t="shared" si="146"/>
        <v>0</v>
      </c>
      <c r="Y83">
        <f t="shared" si="147"/>
        <v>0</v>
      </c>
      <c r="Z83">
        <f t="shared" si="148"/>
        <v>0</v>
      </c>
      <c r="AA83" t="e">
        <f t="shared" si="149"/>
        <v>#VALUE!</v>
      </c>
      <c r="AB83">
        <f t="shared" si="150"/>
        <v>0</v>
      </c>
      <c r="AC83">
        <f t="shared" si="151"/>
        <v>0</v>
      </c>
      <c r="AD83">
        <f t="shared" si="152"/>
        <v>0</v>
      </c>
      <c r="AE83" s="15">
        <f t="shared" si="153"/>
        <v>0</v>
      </c>
      <c r="AF83" t="e">
        <f t="shared" si="154"/>
        <v>#VALUE!</v>
      </c>
      <c r="AG83">
        <f t="shared" si="155"/>
        <v>0</v>
      </c>
      <c r="AH83">
        <f t="shared" si="156"/>
        <v>0</v>
      </c>
      <c r="AI83">
        <f t="shared" si="157"/>
        <v>0</v>
      </c>
      <c r="AJ83" s="15">
        <f t="shared" si="158"/>
        <v>0</v>
      </c>
      <c r="AK83" t="e">
        <f t="shared" si="159"/>
        <v>#VALUE!</v>
      </c>
      <c r="AL83">
        <f t="shared" si="160"/>
        <v>0</v>
      </c>
      <c r="AM83">
        <f t="shared" si="161"/>
        <v>0</v>
      </c>
      <c r="AN83">
        <f t="shared" si="162"/>
        <v>0</v>
      </c>
      <c r="AO83" s="15">
        <f t="shared" si="163"/>
        <v>0</v>
      </c>
      <c r="AP83" t="e">
        <f t="shared" si="164"/>
        <v>#VALUE!</v>
      </c>
      <c r="AQ83">
        <f t="shared" si="165"/>
        <v>0</v>
      </c>
      <c r="AR83">
        <f t="shared" si="166"/>
        <v>0</v>
      </c>
      <c r="AS83">
        <f t="shared" si="167"/>
        <v>0</v>
      </c>
      <c r="AT83" s="15">
        <f t="shared" si="168"/>
        <v>0</v>
      </c>
      <c r="AU83" t="e">
        <f t="shared" si="169"/>
        <v>#VALUE!</v>
      </c>
      <c r="AW83">
        <f t="shared" si="138"/>
        <v>0</v>
      </c>
      <c r="AX83" s="15" t="e">
        <f t="shared" si="139"/>
        <v>#VALUE!</v>
      </c>
      <c r="AY83" s="15" t="e">
        <f>SUM(AW84:AX89)</f>
        <v>#VALUE!</v>
      </c>
    </row>
    <row r="84" spans="1:51" ht="12.75">
      <c r="A84" s="1" t="s">
        <v>59</v>
      </c>
      <c r="B84" s="1" t="s">
        <v>127</v>
      </c>
      <c r="C84" s="144">
        <v>0.00026908943599474267</v>
      </c>
      <c r="D84" s="163">
        <v>0.090517637760301</v>
      </c>
      <c r="E84" s="5">
        <f aca="true" t="shared" si="171" ref="E84:E89">F84*$D84</f>
        <v>44.65183838979606</v>
      </c>
      <c r="F84" s="5">
        <v>493.29434013775546</v>
      </c>
      <c r="G84" s="6">
        <f aca="true" t="shared" si="172" ref="G84:G89">H84*$D84</f>
        <v>1.4413715610493878</v>
      </c>
      <c r="H84" s="226">
        <v>15.92365418181009</v>
      </c>
      <c r="I84" s="226">
        <v>15.92365418181009</v>
      </c>
      <c r="J84" s="13">
        <f t="shared" si="170"/>
        <v>0</v>
      </c>
      <c r="K84" s="148">
        <v>0.00026908943599474267</v>
      </c>
      <c r="L84" s="133">
        <v>0.0004192039968647344</v>
      </c>
      <c r="M84" s="133">
        <v>2385.4734388963197</v>
      </c>
      <c r="N84" s="133">
        <v>0.0844404304219873</v>
      </c>
      <c r="O84" s="15" t="e">
        <f t="shared" si="140"/>
        <v>#VALUE!</v>
      </c>
      <c r="P84" s="15" t="e">
        <f aca="true" t="shared" si="173" ref="P84:P99">O84/I84</f>
        <v>#VALUE!</v>
      </c>
      <c r="Q84" s="5">
        <v>0.090517637760301</v>
      </c>
      <c r="R84" s="15" t="e">
        <f t="shared" si="141"/>
        <v>#VALUE!</v>
      </c>
      <c r="S84" s="15" t="e">
        <f t="shared" si="142"/>
        <v>#VALUE!</v>
      </c>
      <c r="T84" s="15" t="e">
        <f t="shared" si="143"/>
        <v>#VALUE!</v>
      </c>
      <c r="U84" s="15" t="e">
        <f t="shared" si="144"/>
        <v>#VALUE!</v>
      </c>
      <c r="V84" s="15" t="e">
        <f t="shared" si="137"/>
        <v>#VALUE!</v>
      </c>
      <c r="W84" s="16" t="e">
        <f t="shared" si="145"/>
        <v>#VALUE!</v>
      </c>
      <c r="X84" t="e">
        <f t="shared" si="146"/>
        <v>#VALUE!</v>
      </c>
      <c r="Y84" t="e">
        <f t="shared" si="147"/>
        <v>#VALUE!</v>
      </c>
      <c r="Z84" t="e">
        <f t="shared" si="148"/>
        <v>#VALUE!</v>
      </c>
      <c r="AA84" t="e">
        <f t="shared" si="149"/>
        <v>#VALUE!</v>
      </c>
      <c r="AB84" t="e">
        <f t="shared" si="150"/>
        <v>#VALUE!</v>
      </c>
      <c r="AC84" t="e">
        <f t="shared" si="151"/>
        <v>#VALUE!</v>
      </c>
      <c r="AD84" t="e">
        <f t="shared" si="152"/>
        <v>#VALUE!</v>
      </c>
      <c r="AE84" s="15" t="e">
        <f t="shared" si="153"/>
        <v>#VALUE!</v>
      </c>
      <c r="AF84" t="e">
        <f t="shared" si="154"/>
        <v>#VALUE!</v>
      </c>
      <c r="AG84" t="e">
        <f t="shared" si="155"/>
        <v>#VALUE!</v>
      </c>
      <c r="AH84" t="e">
        <f t="shared" si="156"/>
        <v>#VALUE!</v>
      </c>
      <c r="AI84" t="e">
        <f t="shared" si="157"/>
        <v>#VALUE!</v>
      </c>
      <c r="AJ84" s="15" t="e">
        <f t="shared" si="158"/>
        <v>#VALUE!</v>
      </c>
      <c r="AK84" t="e">
        <f t="shared" si="159"/>
        <v>#VALUE!</v>
      </c>
      <c r="AL84" t="e">
        <f t="shared" si="160"/>
        <v>#VALUE!</v>
      </c>
      <c r="AM84" t="e">
        <f t="shared" si="161"/>
        <v>#VALUE!</v>
      </c>
      <c r="AN84" t="e">
        <f t="shared" si="162"/>
        <v>#VALUE!</v>
      </c>
      <c r="AO84" s="15" t="e">
        <f t="shared" si="163"/>
        <v>#VALUE!</v>
      </c>
      <c r="AP84" t="e">
        <f t="shared" si="164"/>
        <v>#VALUE!</v>
      </c>
      <c r="AQ84" t="e">
        <f t="shared" si="165"/>
        <v>#VALUE!</v>
      </c>
      <c r="AR84" t="e">
        <f t="shared" si="166"/>
        <v>#VALUE!</v>
      </c>
      <c r="AS84" t="e">
        <f t="shared" si="167"/>
        <v>#VALUE!</v>
      </c>
      <c r="AT84" s="15" t="e">
        <f t="shared" si="168"/>
        <v>#VALUE!</v>
      </c>
      <c r="AU84" t="e">
        <f t="shared" si="169"/>
        <v>#VALUE!</v>
      </c>
      <c r="AW84" t="e">
        <f t="shared" si="138"/>
        <v>#VALUE!</v>
      </c>
      <c r="AX84" s="15" t="e">
        <f t="shared" si="139"/>
        <v>#VALUE!</v>
      </c>
      <c r="AY84" s="15"/>
    </row>
    <row r="85" spans="1:51" ht="12.75">
      <c r="A85" s="1" t="s">
        <v>60</v>
      </c>
      <c r="B85" s="1" t="s">
        <v>127</v>
      </c>
      <c r="C85" s="144">
        <v>0.00040338358522527227</v>
      </c>
      <c r="D85" s="163">
        <v>0.13569216907714682</v>
      </c>
      <c r="E85" s="5">
        <f t="shared" si="171"/>
        <v>9.98734770046081</v>
      </c>
      <c r="F85" s="5">
        <v>73.60297774282446</v>
      </c>
      <c r="G85" s="6">
        <f t="shared" si="172"/>
        <v>0.3581400650736426</v>
      </c>
      <c r="H85" s="226">
        <v>2.63935691727372</v>
      </c>
      <c r="I85" s="226">
        <v>2.63935691727372</v>
      </c>
      <c r="J85" s="13">
        <f t="shared" si="170"/>
        <v>0</v>
      </c>
      <c r="K85" s="148">
        <v>0.00040338358522527227</v>
      </c>
      <c r="L85" s="133">
        <v>0.0006284156439324662</v>
      </c>
      <c r="M85" s="133">
        <v>1591.3034782874802</v>
      </c>
      <c r="N85" s="133">
        <v>0.05632858804781708</v>
      </c>
      <c r="O85" s="15" t="e">
        <f t="shared" si="140"/>
        <v>#VALUE!</v>
      </c>
      <c r="P85" s="15" t="e">
        <f t="shared" si="173"/>
        <v>#VALUE!</v>
      </c>
      <c r="Q85" s="5">
        <v>0.13569216907714682</v>
      </c>
      <c r="R85" s="15" t="e">
        <f t="shared" si="141"/>
        <v>#VALUE!</v>
      </c>
      <c r="S85" s="15" t="e">
        <f t="shared" si="142"/>
        <v>#VALUE!</v>
      </c>
      <c r="T85" s="15" t="e">
        <f t="shared" si="143"/>
        <v>#VALUE!</v>
      </c>
      <c r="U85" s="15" t="e">
        <f t="shared" si="144"/>
        <v>#VALUE!</v>
      </c>
      <c r="V85" s="15" t="e">
        <f t="shared" si="137"/>
        <v>#VALUE!</v>
      </c>
      <c r="W85" s="16" t="e">
        <f t="shared" si="145"/>
        <v>#VALUE!</v>
      </c>
      <c r="X85" t="e">
        <f t="shared" si="146"/>
        <v>#VALUE!</v>
      </c>
      <c r="Y85" t="e">
        <f t="shared" si="147"/>
        <v>#VALUE!</v>
      </c>
      <c r="Z85" t="e">
        <f t="shared" si="148"/>
        <v>#VALUE!</v>
      </c>
      <c r="AA85" t="e">
        <f t="shared" si="149"/>
        <v>#VALUE!</v>
      </c>
      <c r="AB85" t="e">
        <f t="shared" si="150"/>
        <v>#VALUE!</v>
      </c>
      <c r="AC85" t="e">
        <f t="shared" si="151"/>
        <v>#VALUE!</v>
      </c>
      <c r="AD85" t="e">
        <f t="shared" si="152"/>
        <v>#VALUE!</v>
      </c>
      <c r="AE85" s="15" t="e">
        <f t="shared" si="153"/>
        <v>#VALUE!</v>
      </c>
      <c r="AF85" t="e">
        <f t="shared" si="154"/>
        <v>#VALUE!</v>
      </c>
      <c r="AG85" t="e">
        <f t="shared" si="155"/>
        <v>#VALUE!</v>
      </c>
      <c r="AH85" t="e">
        <f t="shared" si="156"/>
        <v>#VALUE!</v>
      </c>
      <c r="AI85" t="e">
        <f t="shared" si="157"/>
        <v>#VALUE!</v>
      </c>
      <c r="AJ85" s="15" t="e">
        <f t="shared" si="158"/>
        <v>#VALUE!</v>
      </c>
      <c r="AK85" t="e">
        <f t="shared" si="159"/>
        <v>#VALUE!</v>
      </c>
      <c r="AL85" t="e">
        <f t="shared" si="160"/>
        <v>#VALUE!</v>
      </c>
      <c r="AM85" t="e">
        <f t="shared" si="161"/>
        <v>#VALUE!</v>
      </c>
      <c r="AN85" t="e">
        <f t="shared" si="162"/>
        <v>#VALUE!</v>
      </c>
      <c r="AO85" s="15" t="e">
        <f t="shared" si="163"/>
        <v>#VALUE!</v>
      </c>
      <c r="AP85" t="e">
        <f t="shared" si="164"/>
        <v>#VALUE!</v>
      </c>
      <c r="AQ85" t="e">
        <f t="shared" si="165"/>
        <v>#VALUE!</v>
      </c>
      <c r="AR85" t="e">
        <f t="shared" si="166"/>
        <v>#VALUE!</v>
      </c>
      <c r="AS85" t="e">
        <f t="shared" si="167"/>
        <v>#VALUE!</v>
      </c>
      <c r="AT85" s="15" t="e">
        <f t="shared" si="168"/>
        <v>#VALUE!</v>
      </c>
      <c r="AU85" t="e">
        <f t="shared" si="169"/>
        <v>#VALUE!</v>
      </c>
      <c r="AW85" t="e">
        <f t="shared" si="138"/>
        <v>#VALUE!</v>
      </c>
      <c r="AX85" s="15" t="e">
        <f t="shared" si="139"/>
        <v>#VALUE!</v>
      </c>
      <c r="AY85" s="15"/>
    </row>
    <row r="86" spans="1:51" ht="12.75">
      <c r="A86" s="1" t="s">
        <v>61</v>
      </c>
      <c r="B86" s="1" t="s">
        <v>127</v>
      </c>
      <c r="C86" s="144">
        <v>0.00037614464876820774</v>
      </c>
      <c r="D86" s="163">
        <v>0.12652940066863674</v>
      </c>
      <c r="E86" s="5">
        <f t="shared" si="171"/>
        <v>62.8534797821453</v>
      </c>
      <c r="F86" s="5">
        <v>496.75</v>
      </c>
      <c r="G86" s="6">
        <f t="shared" si="172"/>
        <v>2.246959771335976</v>
      </c>
      <c r="H86" s="226">
        <v>17.7584004939726</v>
      </c>
      <c r="I86" s="226">
        <v>17.7584004939726</v>
      </c>
      <c r="J86" s="13">
        <f t="shared" si="170"/>
        <v>0</v>
      </c>
      <c r="K86" s="148">
        <v>0.00037614464876820774</v>
      </c>
      <c r="L86" s="133">
        <v>0.0005859811611705005</v>
      </c>
      <c r="M86" s="133">
        <v>1706.5395037657775</v>
      </c>
      <c r="N86" s="133">
        <v>0.060407685904387026</v>
      </c>
      <c r="O86" s="15" t="e">
        <f t="shared" si="140"/>
        <v>#VALUE!</v>
      </c>
      <c r="P86" s="15" t="e">
        <f t="shared" si="173"/>
        <v>#VALUE!</v>
      </c>
      <c r="Q86" s="5">
        <v>0.12652940066863674</v>
      </c>
      <c r="R86" s="15" t="e">
        <f t="shared" si="141"/>
        <v>#VALUE!</v>
      </c>
      <c r="S86" s="15" t="e">
        <f t="shared" si="142"/>
        <v>#VALUE!</v>
      </c>
      <c r="T86" s="15" t="e">
        <f t="shared" si="143"/>
        <v>#VALUE!</v>
      </c>
      <c r="U86" s="15" t="e">
        <f t="shared" si="144"/>
        <v>#VALUE!</v>
      </c>
      <c r="V86" s="15" t="e">
        <f t="shared" si="137"/>
        <v>#VALUE!</v>
      </c>
      <c r="W86" s="16" t="e">
        <f t="shared" si="145"/>
        <v>#VALUE!</v>
      </c>
      <c r="X86" t="e">
        <f t="shared" si="146"/>
        <v>#VALUE!</v>
      </c>
      <c r="Y86" t="e">
        <f t="shared" si="147"/>
        <v>#VALUE!</v>
      </c>
      <c r="Z86" t="e">
        <f t="shared" si="148"/>
        <v>#VALUE!</v>
      </c>
      <c r="AA86" t="e">
        <f t="shared" si="149"/>
        <v>#VALUE!</v>
      </c>
      <c r="AB86" t="e">
        <f t="shared" si="150"/>
        <v>#VALUE!</v>
      </c>
      <c r="AC86" t="e">
        <f t="shared" si="151"/>
        <v>#VALUE!</v>
      </c>
      <c r="AD86" t="e">
        <f t="shared" si="152"/>
        <v>#VALUE!</v>
      </c>
      <c r="AE86" s="15" t="e">
        <f t="shared" si="153"/>
        <v>#VALUE!</v>
      </c>
      <c r="AF86" t="e">
        <f t="shared" si="154"/>
        <v>#VALUE!</v>
      </c>
      <c r="AG86" t="e">
        <f t="shared" si="155"/>
        <v>#VALUE!</v>
      </c>
      <c r="AH86" t="e">
        <f t="shared" si="156"/>
        <v>#VALUE!</v>
      </c>
      <c r="AI86" t="e">
        <f t="shared" si="157"/>
        <v>#VALUE!</v>
      </c>
      <c r="AJ86" s="15" t="e">
        <f t="shared" si="158"/>
        <v>#VALUE!</v>
      </c>
      <c r="AK86" t="e">
        <f t="shared" si="159"/>
        <v>#VALUE!</v>
      </c>
      <c r="AL86" t="e">
        <f t="shared" si="160"/>
        <v>#VALUE!</v>
      </c>
      <c r="AM86" t="e">
        <f t="shared" si="161"/>
        <v>#VALUE!</v>
      </c>
      <c r="AN86" t="e">
        <f t="shared" si="162"/>
        <v>#VALUE!</v>
      </c>
      <c r="AO86" s="15" t="e">
        <f t="shared" si="163"/>
        <v>#VALUE!</v>
      </c>
      <c r="AP86" t="e">
        <f t="shared" si="164"/>
        <v>#VALUE!</v>
      </c>
      <c r="AQ86" t="e">
        <f t="shared" si="165"/>
        <v>#VALUE!</v>
      </c>
      <c r="AR86" t="e">
        <f t="shared" si="166"/>
        <v>#VALUE!</v>
      </c>
      <c r="AS86" t="e">
        <f t="shared" si="167"/>
        <v>#VALUE!</v>
      </c>
      <c r="AT86" s="15" t="e">
        <f t="shared" si="168"/>
        <v>#VALUE!</v>
      </c>
      <c r="AU86" t="e">
        <f t="shared" si="169"/>
        <v>#VALUE!</v>
      </c>
      <c r="AW86" t="e">
        <f t="shared" si="138"/>
        <v>#VALUE!</v>
      </c>
      <c r="AX86" s="15" t="e">
        <f t="shared" si="139"/>
        <v>#VALUE!</v>
      </c>
      <c r="AY86" s="15"/>
    </row>
    <row r="87" spans="1:51" ht="12.75">
      <c r="A87" s="1" t="s">
        <v>62</v>
      </c>
      <c r="B87" s="1" t="s">
        <v>138</v>
      </c>
      <c r="C87" s="144">
        <v>0.0020003737894930423</v>
      </c>
      <c r="D87" s="163">
        <v>0.6728956467323728</v>
      </c>
      <c r="E87" s="5">
        <f t="shared" si="171"/>
        <v>21.285213581170762</v>
      </c>
      <c r="F87" s="5">
        <v>31.632265247268595</v>
      </c>
      <c r="G87" s="6">
        <f t="shared" si="172"/>
        <v>0.4788676078102758</v>
      </c>
      <c r="H87" s="226">
        <v>0.71165211149112</v>
      </c>
      <c r="I87" s="226">
        <v>0.71165211149112</v>
      </c>
      <c r="J87" s="13">
        <f t="shared" si="170"/>
        <v>0</v>
      </c>
      <c r="K87" s="148">
        <v>0.0020003737894930423</v>
      </c>
      <c r="L87" s="133">
        <v>0.0031163047507941624</v>
      </c>
      <c r="M87" s="133">
        <v>320.8928779334431</v>
      </c>
      <c r="N87" s="133">
        <v>0.011358890981652157</v>
      </c>
      <c r="O87" s="15" t="e">
        <f t="shared" si="140"/>
        <v>#VALUE!</v>
      </c>
      <c r="P87" s="15" t="e">
        <f t="shared" si="173"/>
        <v>#VALUE!</v>
      </c>
      <c r="Q87" s="5">
        <v>0.6728956467323728</v>
      </c>
      <c r="R87" s="15" t="e">
        <f t="shared" si="141"/>
        <v>#VALUE!</v>
      </c>
      <c r="S87" s="15" t="e">
        <f t="shared" si="142"/>
        <v>#VALUE!</v>
      </c>
      <c r="T87" s="15" t="e">
        <f t="shared" si="143"/>
        <v>#VALUE!</v>
      </c>
      <c r="U87" s="15" t="e">
        <f t="shared" si="144"/>
        <v>#VALUE!</v>
      </c>
      <c r="V87" s="15" t="e">
        <f t="shared" si="137"/>
        <v>#VALUE!</v>
      </c>
      <c r="W87" s="16" t="e">
        <f t="shared" si="145"/>
        <v>#VALUE!</v>
      </c>
      <c r="X87" t="e">
        <f t="shared" si="146"/>
        <v>#VALUE!</v>
      </c>
      <c r="Y87" t="e">
        <f t="shared" si="147"/>
        <v>#VALUE!</v>
      </c>
      <c r="Z87" t="e">
        <f t="shared" si="148"/>
        <v>#VALUE!</v>
      </c>
      <c r="AA87" t="e">
        <f t="shared" si="149"/>
        <v>#VALUE!</v>
      </c>
      <c r="AB87" t="e">
        <f t="shared" si="150"/>
        <v>#VALUE!</v>
      </c>
      <c r="AC87" t="e">
        <f t="shared" si="151"/>
        <v>#VALUE!</v>
      </c>
      <c r="AD87" t="e">
        <f t="shared" si="152"/>
        <v>#VALUE!</v>
      </c>
      <c r="AE87" s="15" t="e">
        <f t="shared" si="153"/>
        <v>#VALUE!</v>
      </c>
      <c r="AF87" t="e">
        <f t="shared" si="154"/>
        <v>#VALUE!</v>
      </c>
      <c r="AG87" t="e">
        <f t="shared" si="155"/>
        <v>#VALUE!</v>
      </c>
      <c r="AH87" t="e">
        <f t="shared" si="156"/>
        <v>#VALUE!</v>
      </c>
      <c r="AI87" t="e">
        <f t="shared" si="157"/>
        <v>#VALUE!</v>
      </c>
      <c r="AJ87" s="15" t="e">
        <f t="shared" si="158"/>
        <v>#VALUE!</v>
      </c>
      <c r="AK87" t="e">
        <f t="shared" si="159"/>
        <v>#VALUE!</v>
      </c>
      <c r="AL87" t="e">
        <f t="shared" si="160"/>
        <v>#VALUE!</v>
      </c>
      <c r="AM87" t="e">
        <f t="shared" si="161"/>
        <v>#VALUE!</v>
      </c>
      <c r="AN87" t="e">
        <f t="shared" si="162"/>
        <v>#VALUE!</v>
      </c>
      <c r="AO87" s="15" t="e">
        <f t="shared" si="163"/>
        <v>#VALUE!</v>
      </c>
      <c r="AP87" t="e">
        <f t="shared" si="164"/>
        <v>#VALUE!</v>
      </c>
      <c r="AQ87" t="e">
        <f t="shared" si="165"/>
        <v>#VALUE!</v>
      </c>
      <c r="AR87" t="e">
        <f t="shared" si="166"/>
        <v>#VALUE!</v>
      </c>
      <c r="AS87" t="e">
        <f t="shared" si="167"/>
        <v>#VALUE!</v>
      </c>
      <c r="AT87" s="15" t="e">
        <f t="shared" si="168"/>
        <v>#VALUE!</v>
      </c>
      <c r="AU87" t="e">
        <f t="shared" si="169"/>
        <v>#VALUE!</v>
      </c>
      <c r="AW87" t="e">
        <f t="shared" si="138"/>
        <v>#VALUE!</v>
      </c>
      <c r="AX87" s="15" t="e">
        <f t="shared" si="139"/>
        <v>#VALUE!</v>
      </c>
      <c r="AY87" s="15"/>
    </row>
    <row r="88" spans="1:51" ht="12.75">
      <c r="A88" s="1" t="s">
        <v>240</v>
      </c>
      <c r="B88" s="1" t="s">
        <v>127</v>
      </c>
      <c r="C88" s="144">
        <v>0.00028961667635124674</v>
      </c>
      <c r="D88" s="163">
        <v>0.09742269257949118</v>
      </c>
      <c r="E88" s="5">
        <f t="shared" si="171"/>
        <v>61.097556730177494</v>
      </c>
      <c r="F88" s="5">
        <v>627.1388637747359</v>
      </c>
      <c r="G88" s="6">
        <f t="shared" si="172"/>
        <v>1.9045494325038927</v>
      </c>
      <c r="H88" s="226">
        <v>19.5493409397394</v>
      </c>
      <c r="I88" s="226">
        <v>19.5493409397394</v>
      </c>
      <c r="J88" s="13">
        <f t="shared" si="170"/>
        <v>0</v>
      </c>
      <c r="K88" s="148">
        <v>0.00028961667635124674</v>
      </c>
      <c r="L88" s="133">
        <v>0.00045118258855577985</v>
      </c>
      <c r="M88" s="133">
        <v>2216.397585733452</v>
      </c>
      <c r="N88" s="133">
        <v>0.0784555229473341</v>
      </c>
      <c r="O88" s="15" t="e">
        <f t="shared" si="140"/>
        <v>#VALUE!</v>
      </c>
      <c r="P88" s="15" t="e">
        <f t="shared" si="173"/>
        <v>#VALUE!</v>
      </c>
      <c r="Q88" s="5">
        <v>0.09742269257949118</v>
      </c>
      <c r="R88" s="15" t="e">
        <f t="shared" si="141"/>
        <v>#VALUE!</v>
      </c>
      <c r="S88" s="15" t="e">
        <f t="shared" si="142"/>
        <v>#VALUE!</v>
      </c>
      <c r="T88" s="15" t="e">
        <f t="shared" si="143"/>
        <v>#VALUE!</v>
      </c>
      <c r="U88" s="15" t="e">
        <f t="shared" si="144"/>
        <v>#VALUE!</v>
      </c>
      <c r="V88" s="15" t="e">
        <f t="shared" si="137"/>
        <v>#VALUE!</v>
      </c>
      <c r="W88" s="16" t="e">
        <f t="shared" si="145"/>
        <v>#VALUE!</v>
      </c>
      <c r="X88" t="e">
        <f t="shared" si="146"/>
        <v>#VALUE!</v>
      </c>
      <c r="Y88" t="e">
        <f t="shared" si="147"/>
        <v>#VALUE!</v>
      </c>
      <c r="Z88" t="e">
        <f t="shared" si="148"/>
        <v>#VALUE!</v>
      </c>
      <c r="AA88" t="e">
        <f t="shared" si="149"/>
        <v>#VALUE!</v>
      </c>
      <c r="AB88" t="e">
        <f t="shared" si="150"/>
        <v>#VALUE!</v>
      </c>
      <c r="AC88" t="e">
        <f t="shared" si="151"/>
        <v>#VALUE!</v>
      </c>
      <c r="AD88" t="e">
        <f t="shared" si="152"/>
        <v>#VALUE!</v>
      </c>
      <c r="AE88" s="15" t="e">
        <f t="shared" si="153"/>
        <v>#VALUE!</v>
      </c>
      <c r="AF88" t="e">
        <f t="shared" si="154"/>
        <v>#VALUE!</v>
      </c>
      <c r="AG88" t="e">
        <f t="shared" si="155"/>
        <v>#VALUE!</v>
      </c>
      <c r="AH88" t="e">
        <f t="shared" si="156"/>
        <v>#VALUE!</v>
      </c>
      <c r="AI88" t="e">
        <f t="shared" si="157"/>
        <v>#VALUE!</v>
      </c>
      <c r="AJ88" s="15" t="e">
        <f t="shared" si="158"/>
        <v>#VALUE!</v>
      </c>
      <c r="AK88" t="e">
        <f t="shared" si="159"/>
        <v>#VALUE!</v>
      </c>
      <c r="AL88" t="e">
        <f t="shared" si="160"/>
        <v>#VALUE!</v>
      </c>
      <c r="AM88" t="e">
        <f t="shared" si="161"/>
        <v>#VALUE!</v>
      </c>
      <c r="AN88" t="e">
        <f t="shared" si="162"/>
        <v>#VALUE!</v>
      </c>
      <c r="AO88" s="15" t="e">
        <f t="shared" si="163"/>
        <v>#VALUE!</v>
      </c>
      <c r="AP88" t="e">
        <f t="shared" si="164"/>
        <v>#VALUE!</v>
      </c>
      <c r="AQ88" t="e">
        <f t="shared" si="165"/>
        <v>#VALUE!</v>
      </c>
      <c r="AR88" t="e">
        <f t="shared" si="166"/>
        <v>#VALUE!</v>
      </c>
      <c r="AS88" t="e">
        <f t="shared" si="167"/>
        <v>#VALUE!</v>
      </c>
      <c r="AT88" s="15" t="e">
        <f t="shared" si="168"/>
        <v>#VALUE!</v>
      </c>
      <c r="AU88" t="e">
        <f t="shared" si="169"/>
        <v>#VALUE!</v>
      </c>
      <c r="AW88" t="e">
        <f t="shared" si="138"/>
        <v>#VALUE!</v>
      </c>
      <c r="AX88" s="15" t="e">
        <f t="shared" si="139"/>
        <v>#VALUE!</v>
      </c>
      <c r="AY88" s="15"/>
    </row>
    <row r="89" spans="1:51" ht="12.75">
      <c r="A89" s="1" t="s">
        <v>63</v>
      </c>
      <c r="B89" s="1" t="s">
        <v>127</v>
      </c>
      <c r="C89" s="144">
        <v>0.00041972569972407374</v>
      </c>
      <c r="D89" s="163">
        <v>0.1411894105239228</v>
      </c>
      <c r="E89" s="5">
        <f t="shared" si="171"/>
        <v>114.965849773229</v>
      </c>
      <c r="F89" s="5">
        <v>814.2668019266887</v>
      </c>
      <c r="G89" s="6">
        <f t="shared" si="172"/>
        <v>3.265155027275481</v>
      </c>
      <c r="H89" s="226">
        <v>23.126061757459073</v>
      </c>
      <c r="I89" s="226">
        <v>23.126061757459073</v>
      </c>
      <c r="J89" s="13">
        <f t="shared" si="170"/>
        <v>0</v>
      </c>
      <c r="K89" s="148">
        <v>0.00041972569972407374</v>
      </c>
      <c r="L89" s="133">
        <v>0.000653874390351826</v>
      </c>
      <c r="M89" s="133">
        <v>1529.345719537871</v>
      </c>
      <c r="N89" s="133">
        <v>0.05413542180605871</v>
      </c>
      <c r="O89" s="15" t="e">
        <f t="shared" si="140"/>
        <v>#VALUE!</v>
      </c>
      <c r="P89" s="15" t="e">
        <f t="shared" si="173"/>
        <v>#VALUE!</v>
      </c>
      <c r="Q89" s="5">
        <v>0.1411894105239228</v>
      </c>
      <c r="R89" s="15" t="e">
        <f t="shared" si="141"/>
        <v>#VALUE!</v>
      </c>
      <c r="S89" s="15" t="e">
        <f t="shared" si="142"/>
        <v>#VALUE!</v>
      </c>
      <c r="T89" s="15" t="e">
        <f t="shared" si="143"/>
        <v>#VALUE!</v>
      </c>
      <c r="U89" s="15" t="e">
        <f t="shared" si="144"/>
        <v>#VALUE!</v>
      </c>
      <c r="V89" s="15" t="e">
        <f t="shared" si="137"/>
        <v>#VALUE!</v>
      </c>
      <c r="W89" s="16" t="e">
        <f t="shared" si="145"/>
        <v>#VALUE!</v>
      </c>
      <c r="X89" t="e">
        <f t="shared" si="146"/>
        <v>#VALUE!</v>
      </c>
      <c r="Y89" t="e">
        <f t="shared" si="147"/>
        <v>#VALUE!</v>
      </c>
      <c r="Z89" t="e">
        <f t="shared" si="148"/>
        <v>#VALUE!</v>
      </c>
      <c r="AA89" t="e">
        <f t="shared" si="149"/>
        <v>#VALUE!</v>
      </c>
      <c r="AB89" t="e">
        <f t="shared" si="150"/>
        <v>#VALUE!</v>
      </c>
      <c r="AC89" t="e">
        <f t="shared" si="151"/>
        <v>#VALUE!</v>
      </c>
      <c r="AD89" t="e">
        <f t="shared" si="152"/>
        <v>#VALUE!</v>
      </c>
      <c r="AE89" s="15" t="e">
        <f t="shared" si="153"/>
        <v>#VALUE!</v>
      </c>
      <c r="AF89" t="e">
        <f t="shared" si="154"/>
        <v>#VALUE!</v>
      </c>
      <c r="AG89" t="e">
        <f t="shared" si="155"/>
        <v>#VALUE!</v>
      </c>
      <c r="AH89" t="e">
        <f t="shared" si="156"/>
        <v>#VALUE!</v>
      </c>
      <c r="AI89" t="e">
        <f t="shared" si="157"/>
        <v>#VALUE!</v>
      </c>
      <c r="AJ89" s="15" t="e">
        <f t="shared" si="158"/>
        <v>#VALUE!</v>
      </c>
      <c r="AK89" t="e">
        <f t="shared" si="159"/>
        <v>#VALUE!</v>
      </c>
      <c r="AL89" t="e">
        <f t="shared" si="160"/>
        <v>#VALUE!</v>
      </c>
      <c r="AM89" t="e">
        <f t="shared" si="161"/>
        <v>#VALUE!</v>
      </c>
      <c r="AN89" t="e">
        <f t="shared" si="162"/>
        <v>#VALUE!</v>
      </c>
      <c r="AO89" s="15" t="e">
        <f t="shared" si="163"/>
        <v>#VALUE!</v>
      </c>
      <c r="AP89" t="e">
        <f t="shared" si="164"/>
        <v>#VALUE!</v>
      </c>
      <c r="AQ89" t="e">
        <f t="shared" si="165"/>
        <v>#VALUE!</v>
      </c>
      <c r="AR89" t="e">
        <f t="shared" si="166"/>
        <v>#VALUE!</v>
      </c>
      <c r="AS89" t="e">
        <f t="shared" si="167"/>
        <v>#VALUE!</v>
      </c>
      <c r="AT89" s="15" t="e">
        <f t="shared" si="168"/>
        <v>#VALUE!</v>
      </c>
      <c r="AU89" t="e">
        <f t="shared" si="169"/>
        <v>#VALUE!</v>
      </c>
      <c r="AW89" t="e">
        <f t="shared" si="138"/>
        <v>#VALUE!</v>
      </c>
      <c r="AX89" s="15" t="e">
        <f t="shared" si="139"/>
        <v>#VALUE!</v>
      </c>
      <c r="AY89" s="15"/>
    </row>
    <row r="90" spans="1:51" ht="12.75">
      <c r="A90" s="1" t="s">
        <v>224</v>
      </c>
      <c r="B90" s="4"/>
      <c r="C90" s="144">
        <f>SUM(C91)</f>
        <v>0.0005384164911646315</v>
      </c>
      <c r="D90" s="163"/>
      <c r="E90" s="5">
        <f>SUM(E91)</f>
        <v>38.25342609799141</v>
      </c>
      <c r="F90" s="3"/>
      <c r="G90" s="6">
        <f>SUM(G91)</f>
        <v>1.7247484408101492</v>
      </c>
      <c r="H90" s="226"/>
      <c r="I90" s="226"/>
      <c r="J90" s="13">
        <f t="shared" si="170"/>
        <v>0</v>
      </c>
      <c r="K90" s="148"/>
      <c r="L90" s="133"/>
      <c r="M90" s="133"/>
      <c r="N90" s="133"/>
      <c r="P90" s="15"/>
      <c r="Q90" s="5"/>
      <c r="T90" s="15">
        <f t="shared" si="143"/>
        <v>0</v>
      </c>
      <c r="U90" s="15">
        <f t="shared" si="144"/>
        <v>0</v>
      </c>
      <c r="V90" s="15" t="e">
        <f t="shared" si="137"/>
        <v>#VALUE!</v>
      </c>
      <c r="W90" s="16">
        <f t="shared" si="145"/>
        <v>0</v>
      </c>
      <c r="X90">
        <f t="shared" si="146"/>
        <v>0</v>
      </c>
      <c r="Y90">
        <f t="shared" si="147"/>
        <v>0</v>
      </c>
      <c r="Z90">
        <f t="shared" si="148"/>
        <v>0</v>
      </c>
      <c r="AA90" t="e">
        <f t="shared" si="149"/>
        <v>#VALUE!</v>
      </c>
      <c r="AB90">
        <f t="shared" si="150"/>
        <v>0</v>
      </c>
      <c r="AC90">
        <f t="shared" si="151"/>
        <v>0</v>
      </c>
      <c r="AD90">
        <f t="shared" si="152"/>
        <v>0</v>
      </c>
      <c r="AE90" s="15">
        <f t="shared" si="153"/>
        <v>0</v>
      </c>
      <c r="AF90" t="e">
        <f t="shared" si="154"/>
        <v>#VALUE!</v>
      </c>
      <c r="AG90">
        <f t="shared" si="155"/>
        <v>0</v>
      </c>
      <c r="AH90">
        <f t="shared" si="156"/>
        <v>0</v>
      </c>
      <c r="AI90">
        <f t="shared" si="157"/>
        <v>0</v>
      </c>
      <c r="AJ90" s="15">
        <f t="shared" si="158"/>
        <v>0</v>
      </c>
      <c r="AK90" t="e">
        <f t="shared" si="159"/>
        <v>#VALUE!</v>
      </c>
      <c r="AL90">
        <f t="shared" si="160"/>
        <v>0</v>
      </c>
      <c r="AM90">
        <f t="shared" si="161"/>
        <v>0</v>
      </c>
      <c r="AN90">
        <f t="shared" si="162"/>
        <v>0</v>
      </c>
      <c r="AO90" s="15">
        <f t="shared" si="163"/>
        <v>0</v>
      </c>
      <c r="AP90" t="e">
        <f t="shared" si="164"/>
        <v>#VALUE!</v>
      </c>
      <c r="AQ90">
        <f t="shared" si="165"/>
        <v>0</v>
      </c>
      <c r="AR90">
        <f t="shared" si="166"/>
        <v>0</v>
      </c>
      <c r="AS90">
        <f t="shared" si="167"/>
        <v>0</v>
      </c>
      <c r="AT90" s="15">
        <f t="shared" si="168"/>
        <v>0</v>
      </c>
      <c r="AU90" t="e">
        <f t="shared" si="169"/>
        <v>#VALUE!</v>
      </c>
      <c r="AW90">
        <f t="shared" si="138"/>
        <v>0</v>
      </c>
      <c r="AX90" s="15" t="e">
        <f t="shared" si="139"/>
        <v>#VALUE!</v>
      </c>
      <c r="AY90" s="15" t="e">
        <f>SUM(AW91:AX91)</f>
        <v>#VALUE!</v>
      </c>
    </row>
    <row r="91" spans="1:51" ht="12.75">
      <c r="A91" s="1" t="s">
        <v>241</v>
      </c>
      <c r="B91" s="1" t="s">
        <v>138</v>
      </c>
      <c r="C91" s="144">
        <v>0.0005384164911646315</v>
      </c>
      <c r="D91" s="163">
        <v>0.1811152070360897</v>
      </c>
      <c r="E91" s="5">
        <f>F91*$D91</f>
        <v>38.25342609799141</v>
      </c>
      <c r="F91" s="5">
        <v>211.2104594859828</v>
      </c>
      <c r="G91" s="6">
        <f>H91*$D91</f>
        <v>1.7247484408101492</v>
      </c>
      <c r="H91" s="226">
        <v>9.52293553388076</v>
      </c>
      <c r="I91" s="226">
        <v>9.52293553388076</v>
      </c>
      <c r="J91" s="13">
        <f t="shared" si="170"/>
        <v>0</v>
      </c>
      <c r="K91" s="148">
        <v>0.0005384164911646315</v>
      </c>
      <c r="L91" s="133">
        <v>0.0008387781714273958</v>
      </c>
      <c r="M91" s="133">
        <v>1192.210329339215</v>
      </c>
      <c r="N91" s="133">
        <v>0.04220158217712941</v>
      </c>
      <c r="O91" s="15" t="e">
        <f t="shared" si="140"/>
        <v>#VALUE!</v>
      </c>
      <c r="P91" s="15" t="e">
        <f t="shared" si="173"/>
        <v>#VALUE!</v>
      </c>
      <c r="Q91" s="5">
        <v>0.1811152070360897</v>
      </c>
      <c r="R91" s="15" t="e">
        <f t="shared" si="141"/>
        <v>#VALUE!</v>
      </c>
      <c r="S91" s="15" t="e">
        <f t="shared" si="142"/>
        <v>#VALUE!</v>
      </c>
      <c r="T91" s="15" t="e">
        <f t="shared" si="143"/>
        <v>#VALUE!</v>
      </c>
      <c r="U91" s="15" t="e">
        <f t="shared" si="144"/>
        <v>#VALUE!</v>
      </c>
      <c r="V91" s="15" t="e">
        <f t="shared" si="137"/>
        <v>#VALUE!</v>
      </c>
      <c r="W91" s="16" t="e">
        <f t="shared" si="145"/>
        <v>#VALUE!</v>
      </c>
      <c r="X91" t="e">
        <f t="shared" si="146"/>
        <v>#VALUE!</v>
      </c>
      <c r="Y91" t="e">
        <f t="shared" si="147"/>
        <v>#VALUE!</v>
      </c>
      <c r="Z91" t="e">
        <f t="shared" si="148"/>
        <v>#VALUE!</v>
      </c>
      <c r="AA91" t="e">
        <f t="shared" si="149"/>
        <v>#VALUE!</v>
      </c>
      <c r="AB91" t="e">
        <f t="shared" si="150"/>
        <v>#VALUE!</v>
      </c>
      <c r="AC91" t="e">
        <f t="shared" si="151"/>
        <v>#VALUE!</v>
      </c>
      <c r="AD91" t="e">
        <f t="shared" si="152"/>
        <v>#VALUE!</v>
      </c>
      <c r="AE91" s="15" t="e">
        <f t="shared" si="153"/>
        <v>#VALUE!</v>
      </c>
      <c r="AF91" t="e">
        <f t="shared" si="154"/>
        <v>#VALUE!</v>
      </c>
      <c r="AG91" t="e">
        <f t="shared" si="155"/>
        <v>#VALUE!</v>
      </c>
      <c r="AH91" t="e">
        <f t="shared" si="156"/>
        <v>#VALUE!</v>
      </c>
      <c r="AI91" t="e">
        <f t="shared" si="157"/>
        <v>#VALUE!</v>
      </c>
      <c r="AJ91" s="15" t="e">
        <f t="shared" si="158"/>
        <v>#VALUE!</v>
      </c>
      <c r="AK91" t="e">
        <f t="shared" si="159"/>
        <v>#VALUE!</v>
      </c>
      <c r="AL91" t="e">
        <f t="shared" si="160"/>
        <v>#VALUE!</v>
      </c>
      <c r="AM91" t="e">
        <f t="shared" si="161"/>
        <v>#VALUE!</v>
      </c>
      <c r="AN91" t="e">
        <f t="shared" si="162"/>
        <v>#VALUE!</v>
      </c>
      <c r="AO91" s="15" t="e">
        <f t="shared" si="163"/>
        <v>#VALUE!</v>
      </c>
      <c r="AP91" t="e">
        <f t="shared" si="164"/>
        <v>#VALUE!</v>
      </c>
      <c r="AQ91" t="e">
        <f t="shared" si="165"/>
        <v>#VALUE!</v>
      </c>
      <c r="AR91" t="e">
        <f t="shared" si="166"/>
        <v>#VALUE!</v>
      </c>
      <c r="AS91" t="e">
        <f t="shared" si="167"/>
        <v>#VALUE!</v>
      </c>
      <c r="AT91" s="15" t="e">
        <f t="shared" si="168"/>
        <v>#VALUE!</v>
      </c>
      <c r="AU91" t="e">
        <f t="shared" si="169"/>
        <v>#VALUE!</v>
      </c>
      <c r="AW91" t="e">
        <f t="shared" si="138"/>
        <v>#VALUE!</v>
      </c>
      <c r="AX91" s="15" t="e">
        <f t="shared" si="139"/>
        <v>#VALUE!</v>
      </c>
      <c r="AY91" s="15"/>
    </row>
    <row r="92" spans="1:51" ht="12.75">
      <c r="A92" s="1" t="s">
        <v>64</v>
      </c>
      <c r="B92" s="3"/>
      <c r="C92" s="144">
        <f>(C93+C96+C102+C106+C108+C112)</f>
        <v>0.44534479646557285</v>
      </c>
      <c r="D92" s="163"/>
      <c r="E92" s="5">
        <f>(E93+E96+E102+E106+E108+E112)</f>
        <v>1764.9225142648795</v>
      </c>
      <c r="F92" s="3"/>
      <c r="G92" s="6">
        <f>(G93+G96+G102+G106+G108+G112)</f>
        <v>150.87960455090584</v>
      </c>
      <c r="H92" s="226"/>
      <c r="I92" s="226"/>
      <c r="J92" s="13">
        <f t="shared" si="170"/>
        <v>0</v>
      </c>
      <c r="K92" s="148"/>
      <c r="L92" s="133"/>
      <c r="M92" s="133"/>
      <c r="N92" s="133"/>
      <c r="P92" s="15"/>
      <c r="Q92" s="5"/>
      <c r="T92" s="15">
        <f aca="true" t="shared" si="174" ref="T92:T107">IF(S92=0,Q92*I92,0)</f>
        <v>0</v>
      </c>
      <c r="U92" s="15">
        <f aca="true" t="shared" si="175" ref="U92:U107">IF(S92=0,0,S92*I92)</f>
        <v>0</v>
      </c>
      <c r="V92" s="15" t="e">
        <f t="shared" si="137"/>
        <v>#VALUE!</v>
      </c>
      <c r="W92" s="16">
        <f aca="true" t="shared" si="176" ref="W92:W107">IF(I92=0,0,V92/I92)</f>
        <v>0</v>
      </c>
      <c r="X92">
        <f aca="true" t="shared" si="177" ref="X92:X107">IF(W92&lt;Q92,W92,0)</f>
        <v>0</v>
      </c>
      <c r="Y92">
        <f aca="true" t="shared" si="178" ref="Y92:Y107">IF(X92=0,Q92*I92,0)</f>
        <v>0</v>
      </c>
      <c r="Z92">
        <f aca="true" t="shared" si="179" ref="Z92:Z107">IF(X92=0,0,I92*X92)</f>
        <v>0</v>
      </c>
      <c r="AA92" t="e">
        <f aca="true" t="shared" si="180" ref="AA92:AA107">$AA$7/$Z$7*Z92</f>
        <v>#VALUE!</v>
      </c>
      <c r="AB92">
        <f aca="true" t="shared" si="181" ref="AB92:AB107">IF(I92=0,0,AA92/I92)</f>
        <v>0</v>
      </c>
      <c r="AC92">
        <f aca="true" t="shared" si="182" ref="AC92:AC107">IF(AB92&lt;Q92,AB92,0)</f>
        <v>0</v>
      </c>
      <c r="AD92">
        <f aca="true" t="shared" si="183" ref="AD92:AD107">IF(AC92=0,$Q92*$I92,0)</f>
        <v>0</v>
      </c>
      <c r="AE92" s="15">
        <f aca="true" t="shared" si="184" ref="AE92:AE107">IF(AC92=0,0,AC92*$I92)</f>
        <v>0</v>
      </c>
      <c r="AF92" t="e">
        <f aca="true" t="shared" si="185" ref="AF92:AF107">$AF$7/$AE$7*AE92</f>
        <v>#VALUE!</v>
      </c>
      <c r="AG92">
        <f aca="true" t="shared" si="186" ref="AG92:AG107">IF($I92=0,0,AF92/$I92)</f>
        <v>0</v>
      </c>
      <c r="AH92">
        <f aca="true" t="shared" si="187" ref="AH92:AH107">IF(AG92&lt;$Q92,AG92,0)</f>
        <v>0</v>
      </c>
      <c r="AI92">
        <f aca="true" t="shared" si="188" ref="AI92:AI107">IF(AH92=0,$Q92*$I92,0)</f>
        <v>0</v>
      </c>
      <c r="AJ92" s="15">
        <f aca="true" t="shared" si="189" ref="AJ92:AJ107">IF(AH92=0,0,AH92*$I92)</f>
        <v>0</v>
      </c>
      <c r="AK92" t="e">
        <f aca="true" t="shared" si="190" ref="AK92:AK107">$AK$7/$AJ$7*AJ92</f>
        <v>#VALUE!</v>
      </c>
      <c r="AL92">
        <f aca="true" t="shared" si="191" ref="AL92:AL107">IF($I92=0,0,AK92/$I92)</f>
        <v>0</v>
      </c>
      <c r="AM92">
        <f aca="true" t="shared" si="192" ref="AM92:AM107">IF(AL92&lt;$Q92,AL92,0)</f>
        <v>0</v>
      </c>
      <c r="AN92">
        <f aca="true" t="shared" si="193" ref="AN92:AN107">IF(AM92=0,$Q92*$I92,0)</f>
        <v>0</v>
      </c>
      <c r="AO92" s="15">
        <f aca="true" t="shared" si="194" ref="AO92:AO107">IF(AM92=0,0,AM92*$I92)</f>
        <v>0</v>
      </c>
      <c r="AP92" t="e">
        <f aca="true" t="shared" si="195" ref="AP92:AP107">$AP$7/$AO$7*AO92</f>
        <v>#VALUE!</v>
      </c>
      <c r="AQ92">
        <f aca="true" t="shared" si="196" ref="AQ92:AQ107">IF($I92=0,0,AP92/$I92)</f>
        <v>0</v>
      </c>
      <c r="AR92">
        <f aca="true" t="shared" si="197" ref="AR92:AR107">IF(AQ92&lt;$Q92,AQ92,0)</f>
        <v>0</v>
      </c>
      <c r="AS92">
        <f aca="true" t="shared" si="198" ref="AS92:AS107">IF(AR92=0,$Q92*$I92,0)</f>
        <v>0</v>
      </c>
      <c r="AT92" s="15">
        <f aca="true" t="shared" si="199" ref="AT92:AT107">IF(AR92=0,0,AR92*$I92)</f>
        <v>0</v>
      </c>
      <c r="AU92" t="e">
        <f aca="true" t="shared" si="200" ref="AU92:AU107">$AU$7/$AT$7*AT92</f>
        <v>#VALUE!</v>
      </c>
      <c r="AW92">
        <f t="shared" si="138"/>
        <v>0</v>
      </c>
      <c r="AX92" s="15" t="e">
        <f t="shared" si="139"/>
        <v>#VALUE!</v>
      </c>
      <c r="AY92" s="15" t="e">
        <f>SUM(AY93+AY96+AY102+AY106+AY108)</f>
        <v>#VALUE!</v>
      </c>
    </row>
    <row r="93" spans="1:51" ht="12.75">
      <c r="A93" s="1" t="s">
        <v>65</v>
      </c>
      <c r="B93" s="4"/>
      <c r="C93" s="144">
        <f>SUM(C94:C95)</f>
        <v>0.009278317430196435</v>
      </c>
      <c r="D93" s="163"/>
      <c r="E93" s="5">
        <f>SUM(E94:E95)</f>
        <v>518.4940980720362</v>
      </c>
      <c r="F93" s="3"/>
      <c r="G93" s="6">
        <f>SUM(G94:G95)</f>
        <v>79.07287919551035</v>
      </c>
      <c r="H93" s="226"/>
      <c r="I93" s="226"/>
      <c r="J93" s="13">
        <f t="shared" si="170"/>
        <v>0</v>
      </c>
      <c r="K93" s="148"/>
      <c r="L93" s="133"/>
      <c r="M93" s="133"/>
      <c r="N93" s="133"/>
      <c r="P93" s="15"/>
      <c r="Q93" s="5"/>
      <c r="T93" s="15">
        <f t="shared" si="174"/>
        <v>0</v>
      </c>
      <c r="U93" s="15">
        <f t="shared" si="175"/>
        <v>0</v>
      </c>
      <c r="V93" s="15" t="e">
        <f t="shared" si="137"/>
        <v>#VALUE!</v>
      </c>
      <c r="W93" s="16">
        <f t="shared" si="176"/>
        <v>0</v>
      </c>
      <c r="X93">
        <f t="shared" si="177"/>
        <v>0</v>
      </c>
      <c r="Y93">
        <f t="shared" si="178"/>
        <v>0</v>
      </c>
      <c r="Z93">
        <f t="shared" si="179"/>
        <v>0</v>
      </c>
      <c r="AA93" t="e">
        <f t="shared" si="180"/>
        <v>#VALUE!</v>
      </c>
      <c r="AB93">
        <f t="shared" si="181"/>
        <v>0</v>
      </c>
      <c r="AC93">
        <f t="shared" si="182"/>
        <v>0</v>
      </c>
      <c r="AD93">
        <f t="shared" si="183"/>
        <v>0</v>
      </c>
      <c r="AE93" s="15">
        <f t="shared" si="184"/>
        <v>0</v>
      </c>
      <c r="AF93" t="e">
        <f t="shared" si="185"/>
        <v>#VALUE!</v>
      </c>
      <c r="AG93">
        <f t="shared" si="186"/>
        <v>0</v>
      </c>
      <c r="AH93">
        <f t="shared" si="187"/>
        <v>0</v>
      </c>
      <c r="AI93">
        <f t="shared" si="188"/>
        <v>0</v>
      </c>
      <c r="AJ93" s="15">
        <f t="shared" si="189"/>
        <v>0</v>
      </c>
      <c r="AK93" t="e">
        <f t="shared" si="190"/>
        <v>#VALUE!</v>
      </c>
      <c r="AL93">
        <f t="shared" si="191"/>
        <v>0</v>
      </c>
      <c r="AM93">
        <f t="shared" si="192"/>
        <v>0</v>
      </c>
      <c r="AN93">
        <f t="shared" si="193"/>
        <v>0</v>
      </c>
      <c r="AO93" s="15">
        <f t="shared" si="194"/>
        <v>0</v>
      </c>
      <c r="AP93" t="e">
        <f t="shared" si="195"/>
        <v>#VALUE!</v>
      </c>
      <c r="AQ93">
        <f t="shared" si="196"/>
        <v>0</v>
      </c>
      <c r="AR93">
        <f t="shared" si="197"/>
        <v>0</v>
      </c>
      <c r="AS93">
        <f t="shared" si="198"/>
        <v>0</v>
      </c>
      <c r="AT93" s="15">
        <f t="shared" si="199"/>
        <v>0</v>
      </c>
      <c r="AU93" t="e">
        <f t="shared" si="200"/>
        <v>#VALUE!</v>
      </c>
      <c r="AW93">
        <f t="shared" si="138"/>
        <v>0</v>
      </c>
      <c r="AX93" s="15" t="e">
        <f t="shared" si="139"/>
        <v>#VALUE!</v>
      </c>
      <c r="AY93" s="15" t="e">
        <f>SUM(AW94:AX95)</f>
        <v>#VALUE!</v>
      </c>
    </row>
    <row r="94" spans="1:51" ht="12.75">
      <c r="A94" s="1" t="s">
        <v>265</v>
      </c>
      <c r="B94" s="1" t="s">
        <v>139</v>
      </c>
      <c r="C94" s="144">
        <v>0.000740330230505616</v>
      </c>
      <c r="D94" s="163">
        <v>0.24903595111484328</v>
      </c>
      <c r="E94" s="5">
        <f>F94*$D94</f>
        <v>82.5026870075802</v>
      </c>
      <c r="F94" s="5">
        <v>331.2882603425157</v>
      </c>
      <c r="G94" s="6">
        <f>H94*$D94</f>
        <v>2.4949269161975067</v>
      </c>
      <c r="H94" s="226">
        <v>10.01834034414962</v>
      </c>
      <c r="I94" s="226">
        <v>10.01834034414962</v>
      </c>
      <c r="J94" s="13">
        <f t="shared" si="170"/>
        <v>0</v>
      </c>
      <c r="K94" s="148">
        <v>0.000740330230505616</v>
      </c>
      <c r="L94" s="133">
        <v>0.0011533317555944775</v>
      </c>
      <c r="M94" s="133">
        <v>867.0532092342818</v>
      </c>
      <c r="N94" s="133">
        <v>0.03069174654922255</v>
      </c>
      <c r="O94" s="15" t="e">
        <f aca="true" t="shared" si="201" ref="O94:O107">N94*$O$7</f>
        <v>#VALUE!</v>
      </c>
      <c r="P94" s="15" t="e">
        <f t="shared" si="173"/>
        <v>#VALUE!</v>
      </c>
      <c r="Q94" s="5">
        <v>0.24903595111484328</v>
      </c>
      <c r="R94" s="15" t="e">
        <f aca="true" t="shared" si="202" ref="R94:R107">IF(P94&lt;Q94,P94*H94,0)</f>
        <v>#VALUE!</v>
      </c>
      <c r="S94" s="15" t="e">
        <f aca="true" t="shared" si="203" ref="S94:S107">IF(P94&lt;Q94,P84:P94,0)</f>
        <v>#VALUE!</v>
      </c>
      <c r="T94" s="15" t="e">
        <f t="shared" si="174"/>
        <v>#VALUE!</v>
      </c>
      <c r="U94" s="15" t="e">
        <f t="shared" si="175"/>
        <v>#VALUE!</v>
      </c>
      <c r="V94" s="15" t="e">
        <f t="shared" si="137"/>
        <v>#VALUE!</v>
      </c>
      <c r="W94" s="16" t="e">
        <f t="shared" si="176"/>
        <v>#VALUE!</v>
      </c>
      <c r="X94" t="e">
        <f t="shared" si="177"/>
        <v>#VALUE!</v>
      </c>
      <c r="Y94" t="e">
        <f t="shared" si="178"/>
        <v>#VALUE!</v>
      </c>
      <c r="Z94" t="e">
        <f t="shared" si="179"/>
        <v>#VALUE!</v>
      </c>
      <c r="AA94" t="e">
        <f t="shared" si="180"/>
        <v>#VALUE!</v>
      </c>
      <c r="AB94" t="e">
        <f t="shared" si="181"/>
        <v>#VALUE!</v>
      </c>
      <c r="AC94" t="e">
        <f t="shared" si="182"/>
        <v>#VALUE!</v>
      </c>
      <c r="AD94" t="e">
        <f t="shared" si="183"/>
        <v>#VALUE!</v>
      </c>
      <c r="AE94" s="15" t="e">
        <f t="shared" si="184"/>
        <v>#VALUE!</v>
      </c>
      <c r="AF94" t="e">
        <f t="shared" si="185"/>
        <v>#VALUE!</v>
      </c>
      <c r="AG94" t="e">
        <f t="shared" si="186"/>
        <v>#VALUE!</v>
      </c>
      <c r="AH94" t="e">
        <f t="shared" si="187"/>
        <v>#VALUE!</v>
      </c>
      <c r="AI94" t="e">
        <f t="shared" si="188"/>
        <v>#VALUE!</v>
      </c>
      <c r="AJ94" s="15" t="e">
        <f t="shared" si="189"/>
        <v>#VALUE!</v>
      </c>
      <c r="AK94" t="e">
        <f t="shared" si="190"/>
        <v>#VALUE!</v>
      </c>
      <c r="AL94" t="e">
        <f t="shared" si="191"/>
        <v>#VALUE!</v>
      </c>
      <c r="AM94" t="e">
        <f t="shared" si="192"/>
        <v>#VALUE!</v>
      </c>
      <c r="AN94" t="e">
        <f t="shared" si="193"/>
        <v>#VALUE!</v>
      </c>
      <c r="AO94" s="15" t="e">
        <f t="shared" si="194"/>
        <v>#VALUE!</v>
      </c>
      <c r="AP94" t="e">
        <f t="shared" si="195"/>
        <v>#VALUE!</v>
      </c>
      <c r="AQ94" t="e">
        <f t="shared" si="196"/>
        <v>#VALUE!</v>
      </c>
      <c r="AR94" t="e">
        <f t="shared" si="197"/>
        <v>#VALUE!</v>
      </c>
      <c r="AS94" t="e">
        <f t="shared" si="198"/>
        <v>#VALUE!</v>
      </c>
      <c r="AT94" s="15" t="e">
        <f t="shared" si="199"/>
        <v>#VALUE!</v>
      </c>
      <c r="AU94" t="e">
        <f t="shared" si="200"/>
        <v>#VALUE!</v>
      </c>
      <c r="AW94" t="e">
        <f t="shared" si="138"/>
        <v>#VALUE!</v>
      </c>
      <c r="AX94" s="15" t="e">
        <f t="shared" si="139"/>
        <v>#VALUE!</v>
      </c>
      <c r="AY94" s="15"/>
    </row>
    <row r="95" spans="1:51" ht="12.75">
      <c r="A95" s="1" t="s">
        <v>66</v>
      </c>
      <c r="B95" s="4"/>
      <c r="C95" s="144">
        <v>0.00853798719969082</v>
      </c>
      <c r="D95" s="163">
        <v>2.872050438125708</v>
      </c>
      <c r="E95" s="5">
        <f>F95*$D95</f>
        <v>435.99141106445603</v>
      </c>
      <c r="F95" s="5">
        <v>151.80492838036048</v>
      </c>
      <c r="G95" s="6">
        <f>H95*$D95</f>
        <v>76.57795227931285</v>
      </c>
      <c r="H95" s="226">
        <v>26.663164150169802</v>
      </c>
      <c r="I95" s="226">
        <v>26.663164150169802</v>
      </c>
      <c r="J95" s="13">
        <f t="shared" si="170"/>
        <v>0</v>
      </c>
      <c r="K95" s="148">
        <v>0.00853798719969082</v>
      </c>
      <c r="L95" s="133">
        <v>0.01330099914944361</v>
      </c>
      <c r="M95" s="133">
        <v>75.18232192668253</v>
      </c>
      <c r="N95" s="133">
        <v>0.002661286233625261</v>
      </c>
      <c r="O95" s="15" t="e">
        <f t="shared" si="201"/>
        <v>#VALUE!</v>
      </c>
      <c r="P95" s="15" t="e">
        <f t="shared" si="173"/>
        <v>#VALUE!</v>
      </c>
      <c r="Q95" s="5">
        <v>2.872050438125708</v>
      </c>
      <c r="R95" s="15" t="e">
        <f t="shared" si="202"/>
        <v>#VALUE!</v>
      </c>
      <c r="S95" s="15" t="e">
        <f t="shared" si="203"/>
        <v>#VALUE!</v>
      </c>
      <c r="T95" s="15" t="e">
        <f t="shared" si="174"/>
        <v>#VALUE!</v>
      </c>
      <c r="U95" s="15" t="e">
        <f t="shared" si="175"/>
        <v>#VALUE!</v>
      </c>
      <c r="V95" s="15" t="e">
        <f t="shared" si="137"/>
        <v>#VALUE!</v>
      </c>
      <c r="W95" s="16" t="e">
        <f t="shared" si="176"/>
        <v>#VALUE!</v>
      </c>
      <c r="X95" t="e">
        <f t="shared" si="177"/>
        <v>#VALUE!</v>
      </c>
      <c r="Y95" t="e">
        <f t="shared" si="178"/>
        <v>#VALUE!</v>
      </c>
      <c r="Z95" t="e">
        <f t="shared" si="179"/>
        <v>#VALUE!</v>
      </c>
      <c r="AA95" t="e">
        <f t="shared" si="180"/>
        <v>#VALUE!</v>
      </c>
      <c r="AB95" t="e">
        <f t="shared" si="181"/>
        <v>#VALUE!</v>
      </c>
      <c r="AC95" t="e">
        <f t="shared" si="182"/>
        <v>#VALUE!</v>
      </c>
      <c r="AD95" t="e">
        <f t="shared" si="183"/>
        <v>#VALUE!</v>
      </c>
      <c r="AE95" s="15" t="e">
        <f t="shared" si="184"/>
        <v>#VALUE!</v>
      </c>
      <c r="AF95" t="e">
        <f t="shared" si="185"/>
        <v>#VALUE!</v>
      </c>
      <c r="AG95" t="e">
        <f t="shared" si="186"/>
        <v>#VALUE!</v>
      </c>
      <c r="AH95" t="e">
        <f t="shared" si="187"/>
        <v>#VALUE!</v>
      </c>
      <c r="AI95" t="e">
        <f t="shared" si="188"/>
        <v>#VALUE!</v>
      </c>
      <c r="AJ95" s="15" t="e">
        <f t="shared" si="189"/>
        <v>#VALUE!</v>
      </c>
      <c r="AK95" t="e">
        <f t="shared" si="190"/>
        <v>#VALUE!</v>
      </c>
      <c r="AL95" t="e">
        <f t="shared" si="191"/>
        <v>#VALUE!</v>
      </c>
      <c r="AM95" t="e">
        <f t="shared" si="192"/>
        <v>#VALUE!</v>
      </c>
      <c r="AN95" t="e">
        <f t="shared" si="193"/>
        <v>#VALUE!</v>
      </c>
      <c r="AO95" s="15" t="e">
        <f t="shared" si="194"/>
        <v>#VALUE!</v>
      </c>
      <c r="AP95" t="e">
        <f t="shared" si="195"/>
        <v>#VALUE!</v>
      </c>
      <c r="AQ95" t="e">
        <f t="shared" si="196"/>
        <v>#VALUE!</v>
      </c>
      <c r="AR95" t="e">
        <f t="shared" si="197"/>
        <v>#VALUE!</v>
      </c>
      <c r="AS95" t="e">
        <f t="shared" si="198"/>
        <v>#VALUE!</v>
      </c>
      <c r="AT95" s="15" t="e">
        <f t="shared" si="199"/>
        <v>#VALUE!</v>
      </c>
      <c r="AU95" t="e">
        <f t="shared" si="200"/>
        <v>#VALUE!</v>
      </c>
      <c r="AW95" t="e">
        <f t="shared" si="138"/>
        <v>#VALUE!</v>
      </c>
      <c r="AX95" s="15" t="e">
        <f t="shared" si="139"/>
        <v>#VALUE!</v>
      </c>
      <c r="AY95" s="15"/>
    </row>
    <row r="96" spans="1:51" ht="12.75">
      <c r="A96" s="1" t="s">
        <v>67</v>
      </c>
      <c r="B96" s="4"/>
      <c r="C96" s="144">
        <f>SUM(C97:C101)</f>
        <v>0.028466765061027122</v>
      </c>
      <c r="D96" s="163"/>
      <c r="E96" s="5">
        <f>SUM(E97:E101)</f>
        <v>364.89794115551547</v>
      </c>
      <c r="F96" s="3"/>
      <c r="G96" s="6">
        <f>SUM(G97:G101)</f>
        <v>9.225626308497242</v>
      </c>
      <c r="H96" s="226"/>
      <c r="I96" s="226"/>
      <c r="J96" s="13">
        <f t="shared" si="170"/>
        <v>0</v>
      </c>
      <c r="K96" s="148"/>
      <c r="L96" s="133"/>
      <c r="M96" s="133"/>
      <c r="N96" s="133"/>
      <c r="P96" s="15"/>
      <c r="Q96" s="5"/>
      <c r="T96" s="15">
        <f t="shared" si="174"/>
        <v>0</v>
      </c>
      <c r="U96" s="15">
        <f t="shared" si="175"/>
        <v>0</v>
      </c>
      <c r="V96" s="15" t="e">
        <f t="shared" si="137"/>
        <v>#VALUE!</v>
      </c>
      <c r="W96" s="16">
        <f t="shared" si="176"/>
        <v>0</v>
      </c>
      <c r="X96">
        <f t="shared" si="177"/>
        <v>0</v>
      </c>
      <c r="Y96">
        <f t="shared" si="178"/>
        <v>0</v>
      </c>
      <c r="Z96">
        <f t="shared" si="179"/>
        <v>0</v>
      </c>
      <c r="AA96" t="e">
        <f t="shared" si="180"/>
        <v>#VALUE!</v>
      </c>
      <c r="AB96">
        <f t="shared" si="181"/>
        <v>0</v>
      </c>
      <c r="AC96">
        <f t="shared" si="182"/>
        <v>0</v>
      </c>
      <c r="AD96">
        <f t="shared" si="183"/>
        <v>0</v>
      </c>
      <c r="AE96" s="15">
        <f t="shared" si="184"/>
        <v>0</v>
      </c>
      <c r="AF96" t="e">
        <f t="shared" si="185"/>
        <v>#VALUE!</v>
      </c>
      <c r="AG96">
        <f t="shared" si="186"/>
        <v>0</v>
      </c>
      <c r="AH96">
        <f t="shared" si="187"/>
        <v>0</v>
      </c>
      <c r="AI96">
        <f t="shared" si="188"/>
        <v>0</v>
      </c>
      <c r="AJ96" s="15">
        <f t="shared" si="189"/>
        <v>0</v>
      </c>
      <c r="AK96" t="e">
        <f t="shared" si="190"/>
        <v>#VALUE!</v>
      </c>
      <c r="AL96">
        <f t="shared" si="191"/>
        <v>0</v>
      </c>
      <c r="AM96">
        <f t="shared" si="192"/>
        <v>0</v>
      </c>
      <c r="AN96">
        <f t="shared" si="193"/>
        <v>0</v>
      </c>
      <c r="AO96" s="15">
        <f t="shared" si="194"/>
        <v>0</v>
      </c>
      <c r="AP96" t="e">
        <f t="shared" si="195"/>
        <v>#VALUE!</v>
      </c>
      <c r="AQ96">
        <f t="shared" si="196"/>
        <v>0</v>
      </c>
      <c r="AR96">
        <f t="shared" si="197"/>
        <v>0</v>
      </c>
      <c r="AS96">
        <f t="shared" si="198"/>
        <v>0</v>
      </c>
      <c r="AT96" s="15">
        <f t="shared" si="199"/>
        <v>0</v>
      </c>
      <c r="AU96" t="e">
        <f t="shared" si="200"/>
        <v>#VALUE!</v>
      </c>
      <c r="AW96">
        <f t="shared" si="138"/>
        <v>0</v>
      </c>
      <c r="AX96" s="15" t="e">
        <f t="shared" si="139"/>
        <v>#VALUE!</v>
      </c>
      <c r="AY96" s="15" t="e">
        <f>SUM(AW97:AX101)</f>
        <v>#VALUE!</v>
      </c>
    </row>
    <row r="97" spans="1:51" ht="12.75">
      <c r="A97" s="1" t="s">
        <v>68</v>
      </c>
      <c r="B97" s="1" t="s">
        <v>140</v>
      </c>
      <c r="C97" s="144">
        <v>0.0041618060537907215</v>
      </c>
      <c r="D97" s="163">
        <v>1.3999689412296972</v>
      </c>
      <c r="E97" s="5">
        <f>F97*$D97</f>
        <v>68.6180466795811</v>
      </c>
      <c r="F97" s="5">
        <v>49.01397785247203</v>
      </c>
      <c r="G97" s="6">
        <f>H97*$D97</f>
        <v>2.7492879862046373</v>
      </c>
      <c r="H97" s="226">
        <v>1.96382070004334</v>
      </c>
      <c r="I97" s="226">
        <v>1.96382070004334</v>
      </c>
      <c r="J97" s="13">
        <f t="shared" si="170"/>
        <v>0</v>
      </c>
      <c r="K97" s="148">
        <v>0.0041618060537907215</v>
      </c>
      <c r="L97" s="133">
        <v>0.006483516253529196</v>
      </c>
      <c r="M97" s="133">
        <v>154.23729360679343</v>
      </c>
      <c r="N97" s="133">
        <v>0.00545965561675077</v>
      </c>
      <c r="O97" s="15" t="e">
        <f t="shared" si="201"/>
        <v>#VALUE!</v>
      </c>
      <c r="P97" s="15" t="e">
        <f t="shared" si="173"/>
        <v>#VALUE!</v>
      </c>
      <c r="Q97" s="5">
        <v>1.3999689412296972</v>
      </c>
      <c r="R97" s="15" t="e">
        <f t="shared" si="202"/>
        <v>#VALUE!</v>
      </c>
      <c r="S97" s="15" t="e">
        <f t="shared" si="203"/>
        <v>#VALUE!</v>
      </c>
      <c r="T97" s="15" t="e">
        <f t="shared" si="174"/>
        <v>#VALUE!</v>
      </c>
      <c r="U97" s="15" t="e">
        <f t="shared" si="175"/>
        <v>#VALUE!</v>
      </c>
      <c r="V97" s="15" t="e">
        <f t="shared" si="137"/>
        <v>#VALUE!</v>
      </c>
      <c r="W97" s="16" t="e">
        <f t="shared" si="176"/>
        <v>#VALUE!</v>
      </c>
      <c r="X97" t="e">
        <f t="shared" si="177"/>
        <v>#VALUE!</v>
      </c>
      <c r="Y97" t="e">
        <f t="shared" si="178"/>
        <v>#VALUE!</v>
      </c>
      <c r="Z97" t="e">
        <f t="shared" si="179"/>
        <v>#VALUE!</v>
      </c>
      <c r="AA97" t="e">
        <f t="shared" si="180"/>
        <v>#VALUE!</v>
      </c>
      <c r="AB97" t="e">
        <f t="shared" si="181"/>
        <v>#VALUE!</v>
      </c>
      <c r="AC97" t="e">
        <f t="shared" si="182"/>
        <v>#VALUE!</v>
      </c>
      <c r="AD97" t="e">
        <f t="shared" si="183"/>
        <v>#VALUE!</v>
      </c>
      <c r="AE97" s="15" t="e">
        <f t="shared" si="184"/>
        <v>#VALUE!</v>
      </c>
      <c r="AF97" t="e">
        <f t="shared" si="185"/>
        <v>#VALUE!</v>
      </c>
      <c r="AG97" t="e">
        <f t="shared" si="186"/>
        <v>#VALUE!</v>
      </c>
      <c r="AH97" t="e">
        <f t="shared" si="187"/>
        <v>#VALUE!</v>
      </c>
      <c r="AI97" t="e">
        <f t="shared" si="188"/>
        <v>#VALUE!</v>
      </c>
      <c r="AJ97" s="15" t="e">
        <f t="shared" si="189"/>
        <v>#VALUE!</v>
      </c>
      <c r="AK97" t="e">
        <f t="shared" si="190"/>
        <v>#VALUE!</v>
      </c>
      <c r="AL97" t="e">
        <f t="shared" si="191"/>
        <v>#VALUE!</v>
      </c>
      <c r="AM97" t="e">
        <f t="shared" si="192"/>
        <v>#VALUE!</v>
      </c>
      <c r="AN97" t="e">
        <f t="shared" si="193"/>
        <v>#VALUE!</v>
      </c>
      <c r="AO97" s="15" t="e">
        <f t="shared" si="194"/>
        <v>#VALUE!</v>
      </c>
      <c r="AP97" t="e">
        <f t="shared" si="195"/>
        <v>#VALUE!</v>
      </c>
      <c r="AQ97" t="e">
        <f t="shared" si="196"/>
        <v>#VALUE!</v>
      </c>
      <c r="AR97" t="e">
        <f t="shared" si="197"/>
        <v>#VALUE!</v>
      </c>
      <c r="AS97" t="e">
        <f t="shared" si="198"/>
        <v>#VALUE!</v>
      </c>
      <c r="AT97" s="15" t="e">
        <f t="shared" si="199"/>
        <v>#VALUE!</v>
      </c>
      <c r="AU97" t="e">
        <f t="shared" si="200"/>
        <v>#VALUE!</v>
      </c>
      <c r="AW97" t="e">
        <f t="shared" si="138"/>
        <v>#VALUE!</v>
      </c>
      <c r="AX97" s="15" t="e">
        <f t="shared" si="139"/>
        <v>#VALUE!</v>
      </c>
      <c r="AY97" s="15"/>
    </row>
    <row r="98" spans="1:51" ht="12.75">
      <c r="A98" s="1" t="s">
        <v>69</v>
      </c>
      <c r="B98" s="1" t="s">
        <v>141</v>
      </c>
      <c r="C98" s="144">
        <v>0.00284301911975339</v>
      </c>
      <c r="D98" s="163">
        <v>0.9563488580520678</v>
      </c>
      <c r="E98" s="5">
        <f>F98*$D98</f>
        <v>74.76806010061956</v>
      </c>
      <c r="F98" s="5">
        <v>78.18073861970238</v>
      </c>
      <c r="G98" s="6">
        <f>H98*$D98</f>
        <v>1.1186341054978997</v>
      </c>
      <c r="H98" s="226">
        <v>1.16969251971125</v>
      </c>
      <c r="I98" s="226">
        <v>1.16969251971125</v>
      </c>
      <c r="J98" s="13">
        <f t="shared" si="170"/>
        <v>0</v>
      </c>
      <c r="K98" s="148">
        <v>0.00284301911975339</v>
      </c>
      <c r="L98" s="133">
        <v>0.00442902923244733</v>
      </c>
      <c r="M98" s="133">
        <v>225.78311126825287</v>
      </c>
      <c r="N98" s="133">
        <v>0.00799221772359267</v>
      </c>
      <c r="O98" s="15" t="e">
        <f t="shared" si="201"/>
        <v>#VALUE!</v>
      </c>
      <c r="P98" s="15" t="e">
        <f t="shared" si="173"/>
        <v>#VALUE!</v>
      </c>
      <c r="Q98" s="5">
        <v>0.9563488580520678</v>
      </c>
      <c r="R98" s="15" t="e">
        <f t="shared" si="202"/>
        <v>#VALUE!</v>
      </c>
      <c r="S98" s="15" t="e">
        <f t="shared" si="203"/>
        <v>#VALUE!</v>
      </c>
      <c r="T98" s="15" t="e">
        <f t="shared" si="174"/>
        <v>#VALUE!</v>
      </c>
      <c r="U98" s="15" t="e">
        <f t="shared" si="175"/>
        <v>#VALUE!</v>
      </c>
      <c r="V98" s="15" t="e">
        <f t="shared" si="137"/>
        <v>#VALUE!</v>
      </c>
      <c r="W98" s="16" t="e">
        <f t="shared" si="176"/>
        <v>#VALUE!</v>
      </c>
      <c r="X98" t="e">
        <f t="shared" si="177"/>
        <v>#VALUE!</v>
      </c>
      <c r="Y98" t="e">
        <f t="shared" si="178"/>
        <v>#VALUE!</v>
      </c>
      <c r="Z98" t="e">
        <f t="shared" si="179"/>
        <v>#VALUE!</v>
      </c>
      <c r="AA98" t="e">
        <f t="shared" si="180"/>
        <v>#VALUE!</v>
      </c>
      <c r="AB98" t="e">
        <f t="shared" si="181"/>
        <v>#VALUE!</v>
      </c>
      <c r="AC98" t="e">
        <f t="shared" si="182"/>
        <v>#VALUE!</v>
      </c>
      <c r="AD98" t="e">
        <f t="shared" si="183"/>
        <v>#VALUE!</v>
      </c>
      <c r="AE98" s="15" t="e">
        <f t="shared" si="184"/>
        <v>#VALUE!</v>
      </c>
      <c r="AF98" t="e">
        <f t="shared" si="185"/>
        <v>#VALUE!</v>
      </c>
      <c r="AG98" t="e">
        <f t="shared" si="186"/>
        <v>#VALUE!</v>
      </c>
      <c r="AH98" t="e">
        <f t="shared" si="187"/>
        <v>#VALUE!</v>
      </c>
      <c r="AI98" t="e">
        <f t="shared" si="188"/>
        <v>#VALUE!</v>
      </c>
      <c r="AJ98" s="15" t="e">
        <f t="shared" si="189"/>
        <v>#VALUE!</v>
      </c>
      <c r="AK98" t="e">
        <f t="shared" si="190"/>
        <v>#VALUE!</v>
      </c>
      <c r="AL98" t="e">
        <f t="shared" si="191"/>
        <v>#VALUE!</v>
      </c>
      <c r="AM98" t="e">
        <f t="shared" si="192"/>
        <v>#VALUE!</v>
      </c>
      <c r="AN98" t="e">
        <f t="shared" si="193"/>
        <v>#VALUE!</v>
      </c>
      <c r="AO98" s="15" t="e">
        <f t="shared" si="194"/>
        <v>#VALUE!</v>
      </c>
      <c r="AP98" t="e">
        <f t="shared" si="195"/>
        <v>#VALUE!</v>
      </c>
      <c r="AQ98" t="e">
        <f t="shared" si="196"/>
        <v>#VALUE!</v>
      </c>
      <c r="AR98" t="e">
        <f t="shared" si="197"/>
        <v>#VALUE!</v>
      </c>
      <c r="AS98" t="e">
        <f t="shared" si="198"/>
        <v>#VALUE!</v>
      </c>
      <c r="AT98" s="15" t="e">
        <f t="shared" si="199"/>
        <v>#VALUE!</v>
      </c>
      <c r="AU98" t="e">
        <f t="shared" si="200"/>
        <v>#VALUE!</v>
      </c>
      <c r="AW98" t="e">
        <f t="shared" si="138"/>
        <v>#VALUE!</v>
      </c>
      <c r="AX98" s="15" t="e">
        <f t="shared" si="139"/>
        <v>#VALUE!</v>
      </c>
      <c r="AY98" s="15"/>
    </row>
    <row r="99" spans="1:51" ht="12.75">
      <c r="A99" s="1" t="s">
        <v>243</v>
      </c>
      <c r="B99" s="1" t="s">
        <v>142</v>
      </c>
      <c r="C99" s="144">
        <v>0.012283460075991385</v>
      </c>
      <c r="D99" s="163">
        <v>4.131971162269747</v>
      </c>
      <c r="E99" s="5">
        <f>F99*$D99</f>
        <v>53.78263826002866</v>
      </c>
      <c r="F99" s="5">
        <v>13.016218203828204</v>
      </c>
      <c r="G99" s="6">
        <f>H99*$D99</f>
        <v>2.0788049319524164</v>
      </c>
      <c r="H99" s="226">
        <v>0.50310247828799</v>
      </c>
      <c r="I99" s="226">
        <v>0.50310247828799</v>
      </c>
      <c r="J99" s="13">
        <f t="shared" si="170"/>
        <v>0</v>
      </c>
      <c r="K99" s="148">
        <v>0.012283460075991385</v>
      </c>
      <c r="L99" s="133">
        <v>0.019135926091444877</v>
      </c>
      <c r="M99" s="133">
        <v>52.257726917490096</v>
      </c>
      <c r="N99" s="133">
        <v>0.0018498067854526732</v>
      </c>
      <c r="O99" s="15" t="e">
        <f t="shared" si="201"/>
        <v>#VALUE!</v>
      </c>
      <c r="P99" s="15" t="e">
        <f t="shared" si="173"/>
        <v>#VALUE!</v>
      </c>
      <c r="Q99" s="5">
        <v>4.131971162269747</v>
      </c>
      <c r="R99" s="15" t="e">
        <f t="shared" si="202"/>
        <v>#VALUE!</v>
      </c>
      <c r="S99" s="15" t="e">
        <f t="shared" si="203"/>
        <v>#VALUE!</v>
      </c>
      <c r="T99" s="15" t="e">
        <f t="shared" si="174"/>
        <v>#VALUE!</v>
      </c>
      <c r="U99" s="15" t="e">
        <f t="shared" si="175"/>
        <v>#VALUE!</v>
      </c>
      <c r="V99" s="15" t="e">
        <f t="shared" si="137"/>
        <v>#VALUE!</v>
      </c>
      <c r="W99" s="16" t="e">
        <f t="shared" si="176"/>
        <v>#VALUE!</v>
      </c>
      <c r="X99" t="e">
        <f t="shared" si="177"/>
        <v>#VALUE!</v>
      </c>
      <c r="Y99" t="e">
        <f t="shared" si="178"/>
        <v>#VALUE!</v>
      </c>
      <c r="Z99" t="e">
        <f t="shared" si="179"/>
        <v>#VALUE!</v>
      </c>
      <c r="AA99" t="e">
        <f t="shared" si="180"/>
        <v>#VALUE!</v>
      </c>
      <c r="AB99" t="e">
        <f t="shared" si="181"/>
        <v>#VALUE!</v>
      </c>
      <c r="AC99" t="e">
        <f t="shared" si="182"/>
        <v>#VALUE!</v>
      </c>
      <c r="AD99" t="e">
        <f t="shared" si="183"/>
        <v>#VALUE!</v>
      </c>
      <c r="AE99" s="15" t="e">
        <f t="shared" si="184"/>
        <v>#VALUE!</v>
      </c>
      <c r="AF99" t="e">
        <f t="shared" si="185"/>
        <v>#VALUE!</v>
      </c>
      <c r="AG99" t="e">
        <f t="shared" si="186"/>
        <v>#VALUE!</v>
      </c>
      <c r="AH99" t="e">
        <f t="shared" si="187"/>
        <v>#VALUE!</v>
      </c>
      <c r="AI99" t="e">
        <f t="shared" si="188"/>
        <v>#VALUE!</v>
      </c>
      <c r="AJ99" s="15" t="e">
        <f t="shared" si="189"/>
        <v>#VALUE!</v>
      </c>
      <c r="AK99" t="e">
        <f t="shared" si="190"/>
        <v>#VALUE!</v>
      </c>
      <c r="AL99" t="e">
        <f t="shared" si="191"/>
        <v>#VALUE!</v>
      </c>
      <c r="AM99" t="e">
        <f t="shared" si="192"/>
        <v>#VALUE!</v>
      </c>
      <c r="AN99" t="e">
        <f t="shared" si="193"/>
        <v>#VALUE!</v>
      </c>
      <c r="AO99" s="15" t="e">
        <f t="shared" si="194"/>
        <v>#VALUE!</v>
      </c>
      <c r="AP99" t="e">
        <f t="shared" si="195"/>
        <v>#VALUE!</v>
      </c>
      <c r="AQ99" t="e">
        <f t="shared" si="196"/>
        <v>#VALUE!</v>
      </c>
      <c r="AR99" t="e">
        <f t="shared" si="197"/>
        <v>#VALUE!</v>
      </c>
      <c r="AS99" t="e">
        <f t="shared" si="198"/>
        <v>#VALUE!</v>
      </c>
      <c r="AT99" s="15" t="e">
        <f t="shared" si="199"/>
        <v>#VALUE!</v>
      </c>
      <c r="AU99" t="e">
        <f t="shared" si="200"/>
        <v>#VALUE!</v>
      </c>
      <c r="AW99" t="e">
        <f t="shared" si="138"/>
        <v>#VALUE!</v>
      </c>
      <c r="AX99" s="15" t="e">
        <f t="shared" si="139"/>
        <v>#VALUE!</v>
      </c>
      <c r="AY99" s="15"/>
    </row>
    <row r="100" spans="1:51" ht="12.75">
      <c r="A100" s="1" t="s">
        <v>70</v>
      </c>
      <c r="B100" s="1" t="s">
        <v>143</v>
      </c>
      <c r="C100" s="144">
        <v>0.006418424894356312</v>
      </c>
      <c r="D100" s="163">
        <v>2.159061567881073</v>
      </c>
      <c r="E100" s="5">
        <f>F100*$D100</f>
        <v>64.40383135485835</v>
      </c>
      <c r="F100" s="5">
        <v>29.829548315319688</v>
      </c>
      <c r="G100" s="6">
        <f>H100*$D100</f>
        <v>1.472390162464878</v>
      </c>
      <c r="H100" s="226">
        <v>0.68195839542913</v>
      </c>
      <c r="I100" s="226">
        <v>0.68195839542913</v>
      </c>
      <c r="J100" s="13">
        <f t="shared" si="170"/>
        <v>0</v>
      </c>
      <c r="K100" s="148">
        <v>0.006418424894356312</v>
      </c>
      <c r="L100" s="133">
        <v>0.009999015232031795</v>
      </c>
      <c r="M100" s="133">
        <v>100.00984864954552</v>
      </c>
      <c r="N100" s="133">
        <v>0.0035401252131788963</v>
      </c>
      <c r="O100" s="15" t="e">
        <f t="shared" si="201"/>
        <v>#VALUE!</v>
      </c>
      <c r="P100" s="15" t="e">
        <f aca="true" t="shared" si="204" ref="P100:P110">O100/I100</f>
        <v>#VALUE!</v>
      </c>
      <c r="Q100" s="5">
        <v>2.159061567881073</v>
      </c>
      <c r="R100" s="15" t="e">
        <f t="shared" si="202"/>
        <v>#VALUE!</v>
      </c>
      <c r="S100" s="15" t="e">
        <f t="shared" si="203"/>
        <v>#VALUE!</v>
      </c>
      <c r="T100" s="15" t="e">
        <f t="shared" si="174"/>
        <v>#VALUE!</v>
      </c>
      <c r="U100" s="15" t="e">
        <f t="shared" si="175"/>
        <v>#VALUE!</v>
      </c>
      <c r="V100" s="15" t="e">
        <f t="shared" si="137"/>
        <v>#VALUE!</v>
      </c>
      <c r="W100" s="16" t="e">
        <f t="shared" si="176"/>
        <v>#VALUE!</v>
      </c>
      <c r="X100" t="e">
        <f t="shared" si="177"/>
        <v>#VALUE!</v>
      </c>
      <c r="Y100" t="e">
        <f t="shared" si="178"/>
        <v>#VALUE!</v>
      </c>
      <c r="Z100" t="e">
        <f t="shared" si="179"/>
        <v>#VALUE!</v>
      </c>
      <c r="AA100" t="e">
        <f t="shared" si="180"/>
        <v>#VALUE!</v>
      </c>
      <c r="AB100" t="e">
        <f t="shared" si="181"/>
        <v>#VALUE!</v>
      </c>
      <c r="AC100" t="e">
        <f t="shared" si="182"/>
        <v>#VALUE!</v>
      </c>
      <c r="AD100" t="e">
        <f t="shared" si="183"/>
        <v>#VALUE!</v>
      </c>
      <c r="AE100" s="15" t="e">
        <f t="shared" si="184"/>
        <v>#VALUE!</v>
      </c>
      <c r="AF100" t="e">
        <f t="shared" si="185"/>
        <v>#VALUE!</v>
      </c>
      <c r="AG100" t="e">
        <f t="shared" si="186"/>
        <v>#VALUE!</v>
      </c>
      <c r="AH100" t="e">
        <f t="shared" si="187"/>
        <v>#VALUE!</v>
      </c>
      <c r="AI100" t="e">
        <f t="shared" si="188"/>
        <v>#VALUE!</v>
      </c>
      <c r="AJ100" s="15" t="e">
        <f t="shared" si="189"/>
        <v>#VALUE!</v>
      </c>
      <c r="AK100" t="e">
        <f t="shared" si="190"/>
        <v>#VALUE!</v>
      </c>
      <c r="AL100" t="e">
        <f t="shared" si="191"/>
        <v>#VALUE!</v>
      </c>
      <c r="AM100" t="e">
        <f t="shared" si="192"/>
        <v>#VALUE!</v>
      </c>
      <c r="AN100" t="e">
        <f t="shared" si="193"/>
        <v>#VALUE!</v>
      </c>
      <c r="AO100" s="15" t="e">
        <f t="shared" si="194"/>
        <v>#VALUE!</v>
      </c>
      <c r="AP100" t="e">
        <f t="shared" si="195"/>
        <v>#VALUE!</v>
      </c>
      <c r="AQ100" t="e">
        <f t="shared" si="196"/>
        <v>#VALUE!</v>
      </c>
      <c r="AR100" t="e">
        <f t="shared" si="197"/>
        <v>#VALUE!</v>
      </c>
      <c r="AS100" t="e">
        <f t="shared" si="198"/>
        <v>#VALUE!</v>
      </c>
      <c r="AT100" s="15" t="e">
        <f t="shared" si="199"/>
        <v>#VALUE!</v>
      </c>
      <c r="AU100" t="e">
        <f t="shared" si="200"/>
        <v>#VALUE!</v>
      </c>
      <c r="AW100" t="e">
        <f t="shared" si="138"/>
        <v>#VALUE!</v>
      </c>
      <c r="AX100" s="15" t="e">
        <f t="shared" si="139"/>
        <v>#VALUE!</v>
      </c>
      <c r="AY100" s="15"/>
    </row>
    <row r="101" spans="1:51" ht="12.75">
      <c r="A101" s="1" t="s">
        <v>144</v>
      </c>
      <c r="B101" s="1" t="s">
        <v>145</v>
      </c>
      <c r="C101" s="144">
        <v>0.0027600549171353126</v>
      </c>
      <c r="D101" s="163">
        <v>0.9284409485055851</v>
      </c>
      <c r="E101" s="5">
        <f>F101*$D101</f>
        <v>103.32536476042776</v>
      </c>
      <c r="F101" s="5">
        <v>111.28910775288387</v>
      </c>
      <c r="G101" s="6">
        <f>H101*$D101</f>
        <v>1.8065091223774106</v>
      </c>
      <c r="H101" s="226">
        <v>1.94574477276682</v>
      </c>
      <c r="I101" s="226">
        <v>1.94574477276682</v>
      </c>
      <c r="J101" s="13">
        <f t="shared" si="170"/>
        <v>0</v>
      </c>
      <c r="K101" s="148">
        <v>0.0027600549171353126</v>
      </c>
      <c r="L101" s="133">
        <v>0.004299782518596872</v>
      </c>
      <c r="M101" s="133">
        <v>232.56990223922423</v>
      </c>
      <c r="N101" s="133">
        <v>0.008232454961798107</v>
      </c>
      <c r="O101" s="15" t="e">
        <f t="shared" si="201"/>
        <v>#VALUE!</v>
      </c>
      <c r="P101" s="15" t="e">
        <f t="shared" si="204"/>
        <v>#VALUE!</v>
      </c>
      <c r="Q101" s="5">
        <v>0.9284409485055851</v>
      </c>
      <c r="R101" s="15" t="e">
        <f t="shared" si="202"/>
        <v>#VALUE!</v>
      </c>
      <c r="S101" s="15" t="e">
        <f t="shared" si="203"/>
        <v>#VALUE!</v>
      </c>
      <c r="T101" s="15" t="e">
        <f t="shared" si="174"/>
        <v>#VALUE!</v>
      </c>
      <c r="U101" s="15" t="e">
        <f t="shared" si="175"/>
        <v>#VALUE!</v>
      </c>
      <c r="V101" s="15" t="e">
        <f t="shared" si="137"/>
        <v>#VALUE!</v>
      </c>
      <c r="W101" s="16" t="e">
        <f t="shared" si="176"/>
        <v>#VALUE!</v>
      </c>
      <c r="X101" t="e">
        <f t="shared" si="177"/>
        <v>#VALUE!</v>
      </c>
      <c r="Y101" t="e">
        <f t="shared" si="178"/>
        <v>#VALUE!</v>
      </c>
      <c r="Z101" t="e">
        <f t="shared" si="179"/>
        <v>#VALUE!</v>
      </c>
      <c r="AA101" t="e">
        <f t="shared" si="180"/>
        <v>#VALUE!</v>
      </c>
      <c r="AB101" t="e">
        <f t="shared" si="181"/>
        <v>#VALUE!</v>
      </c>
      <c r="AC101" t="e">
        <f t="shared" si="182"/>
        <v>#VALUE!</v>
      </c>
      <c r="AD101" t="e">
        <f t="shared" si="183"/>
        <v>#VALUE!</v>
      </c>
      <c r="AE101" s="15" t="e">
        <f t="shared" si="184"/>
        <v>#VALUE!</v>
      </c>
      <c r="AF101" t="e">
        <f t="shared" si="185"/>
        <v>#VALUE!</v>
      </c>
      <c r="AG101" t="e">
        <f t="shared" si="186"/>
        <v>#VALUE!</v>
      </c>
      <c r="AH101" t="e">
        <f t="shared" si="187"/>
        <v>#VALUE!</v>
      </c>
      <c r="AI101" t="e">
        <f t="shared" si="188"/>
        <v>#VALUE!</v>
      </c>
      <c r="AJ101" s="15" t="e">
        <f t="shared" si="189"/>
        <v>#VALUE!</v>
      </c>
      <c r="AK101" t="e">
        <f t="shared" si="190"/>
        <v>#VALUE!</v>
      </c>
      <c r="AL101" t="e">
        <f t="shared" si="191"/>
        <v>#VALUE!</v>
      </c>
      <c r="AM101" t="e">
        <f t="shared" si="192"/>
        <v>#VALUE!</v>
      </c>
      <c r="AN101" t="e">
        <f t="shared" si="193"/>
        <v>#VALUE!</v>
      </c>
      <c r="AO101" s="15" t="e">
        <f t="shared" si="194"/>
        <v>#VALUE!</v>
      </c>
      <c r="AP101" t="e">
        <f t="shared" si="195"/>
        <v>#VALUE!</v>
      </c>
      <c r="AQ101" t="e">
        <f t="shared" si="196"/>
        <v>#VALUE!</v>
      </c>
      <c r="AR101" t="e">
        <f t="shared" si="197"/>
        <v>#VALUE!</v>
      </c>
      <c r="AS101" t="e">
        <f t="shared" si="198"/>
        <v>#VALUE!</v>
      </c>
      <c r="AT101" s="15" t="e">
        <f t="shared" si="199"/>
        <v>#VALUE!</v>
      </c>
      <c r="AU101" t="e">
        <f t="shared" si="200"/>
        <v>#VALUE!</v>
      </c>
      <c r="AW101" t="e">
        <f t="shared" si="138"/>
        <v>#VALUE!</v>
      </c>
      <c r="AX101" s="15" t="e">
        <f t="shared" si="139"/>
        <v>#VALUE!</v>
      </c>
      <c r="AY101" s="15"/>
    </row>
    <row r="102" spans="1:51" ht="12.75">
      <c r="A102" s="1" t="s">
        <v>71</v>
      </c>
      <c r="B102" s="4"/>
      <c r="C102" s="144">
        <f>SUM(C103:C105)</f>
        <v>0.03511260625245686</v>
      </c>
      <c r="D102" s="163"/>
      <c r="E102" s="5">
        <f>SUM(E103:E105)</f>
        <v>205.20316368776986</v>
      </c>
      <c r="F102" s="3"/>
      <c r="G102" s="6">
        <f>SUM(G103:G105)</f>
        <v>16.394824017644805</v>
      </c>
      <c r="H102" s="226"/>
      <c r="I102" s="226"/>
      <c r="J102" s="13"/>
      <c r="K102" s="148"/>
      <c r="L102" s="133"/>
      <c r="M102" s="133"/>
      <c r="N102" s="133"/>
      <c r="P102" s="15"/>
      <c r="Q102" s="5"/>
      <c r="T102" s="15">
        <f t="shared" si="174"/>
        <v>0</v>
      </c>
      <c r="U102" s="15">
        <f t="shared" si="175"/>
        <v>0</v>
      </c>
      <c r="V102" s="15" t="e">
        <f t="shared" si="137"/>
        <v>#VALUE!</v>
      </c>
      <c r="W102" s="16">
        <f t="shared" si="176"/>
        <v>0</v>
      </c>
      <c r="X102">
        <f t="shared" si="177"/>
        <v>0</v>
      </c>
      <c r="Y102">
        <f t="shared" si="178"/>
        <v>0</v>
      </c>
      <c r="Z102">
        <f t="shared" si="179"/>
        <v>0</v>
      </c>
      <c r="AA102" t="e">
        <f t="shared" si="180"/>
        <v>#VALUE!</v>
      </c>
      <c r="AB102">
        <f t="shared" si="181"/>
        <v>0</v>
      </c>
      <c r="AC102">
        <f t="shared" si="182"/>
        <v>0</v>
      </c>
      <c r="AD102">
        <f t="shared" si="183"/>
        <v>0</v>
      </c>
      <c r="AE102" s="15">
        <f t="shared" si="184"/>
        <v>0</v>
      </c>
      <c r="AF102" t="e">
        <f t="shared" si="185"/>
        <v>#VALUE!</v>
      </c>
      <c r="AG102">
        <f t="shared" si="186"/>
        <v>0</v>
      </c>
      <c r="AH102">
        <f t="shared" si="187"/>
        <v>0</v>
      </c>
      <c r="AI102">
        <f t="shared" si="188"/>
        <v>0</v>
      </c>
      <c r="AJ102" s="15">
        <f t="shared" si="189"/>
        <v>0</v>
      </c>
      <c r="AK102" t="e">
        <f t="shared" si="190"/>
        <v>#VALUE!</v>
      </c>
      <c r="AL102">
        <f t="shared" si="191"/>
        <v>0</v>
      </c>
      <c r="AM102">
        <f t="shared" si="192"/>
        <v>0</v>
      </c>
      <c r="AN102">
        <f t="shared" si="193"/>
        <v>0</v>
      </c>
      <c r="AO102" s="15">
        <f t="shared" si="194"/>
        <v>0</v>
      </c>
      <c r="AP102" t="e">
        <f t="shared" si="195"/>
        <v>#VALUE!</v>
      </c>
      <c r="AQ102">
        <f t="shared" si="196"/>
        <v>0</v>
      </c>
      <c r="AR102">
        <f t="shared" si="197"/>
        <v>0</v>
      </c>
      <c r="AS102">
        <f t="shared" si="198"/>
        <v>0</v>
      </c>
      <c r="AT102" s="15">
        <f t="shared" si="199"/>
        <v>0</v>
      </c>
      <c r="AU102" t="e">
        <f t="shared" si="200"/>
        <v>#VALUE!</v>
      </c>
      <c r="AW102">
        <f t="shared" si="138"/>
        <v>0</v>
      </c>
      <c r="AX102" s="15" t="e">
        <f t="shared" si="139"/>
        <v>#VALUE!</v>
      </c>
      <c r="AY102" s="15" t="e">
        <f>SUM(AW103:AX105)</f>
        <v>#VALUE!</v>
      </c>
    </row>
    <row r="103" spans="1:51" ht="12.75">
      <c r="A103" s="1" t="s">
        <v>72</v>
      </c>
      <c r="B103" s="1" t="s">
        <v>146</v>
      </c>
      <c r="C103" s="144">
        <v>0.008234482043381177</v>
      </c>
      <c r="D103" s="163">
        <v>2.7699558698433746</v>
      </c>
      <c r="E103" s="5">
        <f>F103*$D103</f>
        <v>77.33770359130418</v>
      </c>
      <c r="F103" s="5">
        <v>27.92019339848804</v>
      </c>
      <c r="G103" s="6">
        <f>H103*$D103</f>
        <v>9.636631378930094</v>
      </c>
      <c r="H103" s="226">
        <v>3.47898372094823</v>
      </c>
      <c r="I103" s="226">
        <v>3.47898372094823</v>
      </c>
      <c r="J103" s="13" t="s">
        <v>137</v>
      </c>
      <c r="K103" s="148">
        <v>0.008234482043381177</v>
      </c>
      <c r="L103" s="133">
        <v>0.01282818023656535</v>
      </c>
      <c r="M103" s="133">
        <v>77.95337932262656</v>
      </c>
      <c r="N103" s="133">
        <v>0.0027593754747051386</v>
      </c>
      <c r="O103" s="15" t="e">
        <f t="shared" si="201"/>
        <v>#VALUE!</v>
      </c>
      <c r="P103" s="15" t="e">
        <f t="shared" si="204"/>
        <v>#VALUE!</v>
      </c>
      <c r="Q103" s="5">
        <v>2.7699558698433746</v>
      </c>
      <c r="R103" s="15" t="e">
        <f t="shared" si="202"/>
        <v>#VALUE!</v>
      </c>
      <c r="S103" s="15" t="e">
        <f t="shared" si="203"/>
        <v>#VALUE!</v>
      </c>
      <c r="T103" s="15" t="e">
        <f t="shared" si="174"/>
        <v>#VALUE!</v>
      </c>
      <c r="U103" s="15" t="e">
        <f t="shared" si="175"/>
        <v>#VALUE!</v>
      </c>
      <c r="V103" s="15" t="e">
        <f t="shared" si="137"/>
        <v>#VALUE!</v>
      </c>
      <c r="W103" s="16" t="e">
        <f t="shared" si="176"/>
        <v>#VALUE!</v>
      </c>
      <c r="X103" t="e">
        <f t="shared" si="177"/>
        <v>#VALUE!</v>
      </c>
      <c r="Y103" t="e">
        <f t="shared" si="178"/>
        <v>#VALUE!</v>
      </c>
      <c r="Z103" t="e">
        <f t="shared" si="179"/>
        <v>#VALUE!</v>
      </c>
      <c r="AA103" t="e">
        <f t="shared" si="180"/>
        <v>#VALUE!</v>
      </c>
      <c r="AB103" t="e">
        <f t="shared" si="181"/>
        <v>#VALUE!</v>
      </c>
      <c r="AC103" t="e">
        <f t="shared" si="182"/>
        <v>#VALUE!</v>
      </c>
      <c r="AD103" t="e">
        <f t="shared" si="183"/>
        <v>#VALUE!</v>
      </c>
      <c r="AE103" s="15" t="e">
        <f t="shared" si="184"/>
        <v>#VALUE!</v>
      </c>
      <c r="AF103" t="e">
        <f t="shared" si="185"/>
        <v>#VALUE!</v>
      </c>
      <c r="AG103" t="e">
        <f t="shared" si="186"/>
        <v>#VALUE!</v>
      </c>
      <c r="AH103" t="e">
        <f t="shared" si="187"/>
        <v>#VALUE!</v>
      </c>
      <c r="AI103" t="e">
        <f t="shared" si="188"/>
        <v>#VALUE!</v>
      </c>
      <c r="AJ103" s="15" t="e">
        <f t="shared" si="189"/>
        <v>#VALUE!</v>
      </c>
      <c r="AK103" t="e">
        <f t="shared" si="190"/>
        <v>#VALUE!</v>
      </c>
      <c r="AL103" t="e">
        <f t="shared" si="191"/>
        <v>#VALUE!</v>
      </c>
      <c r="AM103" t="e">
        <f t="shared" si="192"/>
        <v>#VALUE!</v>
      </c>
      <c r="AN103" t="e">
        <f t="shared" si="193"/>
        <v>#VALUE!</v>
      </c>
      <c r="AO103" s="15" t="e">
        <f t="shared" si="194"/>
        <v>#VALUE!</v>
      </c>
      <c r="AP103" t="e">
        <f t="shared" si="195"/>
        <v>#VALUE!</v>
      </c>
      <c r="AQ103" t="e">
        <f t="shared" si="196"/>
        <v>#VALUE!</v>
      </c>
      <c r="AR103" t="e">
        <f t="shared" si="197"/>
        <v>#VALUE!</v>
      </c>
      <c r="AS103" t="e">
        <f t="shared" si="198"/>
        <v>#VALUE!</v>
      </c>
      <c r="AT103" s="15" t="e">
        <f t="shared" si="199"/>
        <v>#VALUE!</v>
      </c>
      <c r="AU103" t="e">
        <f t="shared" si="200"/>
        <v>#VALUE!</v>
      </c>
      <c r="AW103" t="e">
        <f t="shared" si="138"/>
        <v>#VALUE!</v>
      </c>
      <c r="AX103" s="15" t="e">
        <f t="shared" si="139"/>
        <v>#VALUE!</v>
      </c>
      <c r="AY103" s="15"/>
    </row>
    <row r="104" spans="1:51" ht="12.75">
      <c r="A104" s="1" t="s">
        <v>244</v>
      </c>
      <c r="B104" s="1" t="s">
        <v>147</v>
      </c>
      <c r="C104" s="144">
        <v>0.0029851087221217723</v>
      </c>
      <c r="D104" s="163">
        <v>1.0041456625202214</v>
      </c>
      <c r="E104" s="5">
        <f>F104*$D104</f>
        <v>73.83442296567083</v>
      </c>
      <c r="F104" s="5">
        <v>73.52959408335238</v>
      </c>
      <c r="G104" s="6">
        <f>H104*$D104</f>
        <v>3.9337067505512144</v>
      </c>
      <c r="H104" s="226">
        <v>3.91746625751321</v>
      </c>
      <c r="I104" s="226">
        <v>3.91746625751321</v>
      </c>
      <c r="J104" s="13">
        <f>I104-H104</f>
        <v>0</v>
      </c>
      <c r="K104" s="148">
        <v>0.0029851087221217723</v>
      </c>
      <c r="L104" s="133">
        <v>0.004650385113645544</v>
      </c>
      <c r="M104" s="133">
        <v>215.03595413328617</v>
      </c>
      <c r="N104" s="133">
        <v>0.007611792370917526</v>
      </c>
      <c r="O104" s="15" t="e">
        <f t="shared" si="201"/>
        <v>#VALUE!</v>
      </c>
      <c r="P104" s="15" t="e">
        <f t="shared" si="204"/>
        <v>#VALUE!</v>
      </c>
      <c r="Q104" s="5">
        <v>1.0041456625202214</v>
      </c>
      <c r="R104" s="15" t="e">
        <f t="shared" si="202"/>
        <v>#VALUE!</v>
      </c>
      <c r="S104" s="15" t="e">
        <f t="shared" si="203"/>
        <v>#VALUE!</v>
      </c>
      <c r="T104" s="15" t="e">
        <f t="shared" si="174"/>
        <v>#VALUE!</v>
      </c>
      <c r="U104" s="15" t="e">
        <f t="shared" si="175"/>
        <v>#VALUE!</v>
      </c>
      <c r="V104" s="15" t="e">
        <f t="shared" si="137"/>
        <v>#VALUE!</v>
      </c>
      <c r="W104" s="16" t="e">
        <f t="shared" si="176"/>
        <v>#VALUE!</v>
      </c>
      <c r="X104" t="e">
        <f t="shared" si="177"/>
        <v>#VALUE!</v>
      </c>
      <c r="Y104" t="e">
        <f t="shared" si="178"/>
        <v>#VALUE!</v>
      </c>
      <c r="Z104" t="e">
        <f t="shared" si="179"/>
        <v>#VALUE!</v>
      </c>
      <c r="AA104" t="e">
        <f t="shared" si="180"/>
        <v>#VALUE!</v>
      </c>
      <c r="AB104" t="e">
        <f t="shared" si="181"/>
        <v>#VALUE!</v>
      </c>
      <c r="AC104" t="e">
        <f t="shared" si="182"/>
        <v>#VALUE!</v>
      </c>
      <c r="AD104" t="e">
        <f t="shared" si="183"/>
        <v>#VALUE!</v>
      </c>
      <c r="AE104" s="15" t="e">
        <f t="shared" si="184"/>
        <v>#VALUE!</v>
      </c>
      <c r="AF104" t="e">
        <f t="shared" si="185"/>
        <v>#VALUE!</v>
      </c>
      <c r="AG104" t="e">
        <f t="shared" si="186"/>
        <v>#VALUE!</v>
      </c>
      <c r="AH104" t="e">
        <f t="shared" si="187"/>
        <v>#VALUE!</v>
      </c>
      <c r="AI104" t="e">
        <f t="shared" si="188"/>
        <v>#VALUE!</v>
      </c>
      <c r="AJ104" s="15" t="e">
        <f t="shared" si="189"/>
        <v>#VALUE!</v>
      </c>
      <c r="AK104" t="e">
        <f t="shared" si="190"/>
        <v>#VALUE!</v>
      </c>
      <c r="AL104" t="e">
        <f t="shared" si="191"/>
        <v>#VALUE!</v>
      </c>
      <c r="AM104" t="e">
        <f t="shared" si="192"/>
        <v>#VALUE!</v>
      </c>
      <c r="AN104" t="e">
        <f t="shared" si="193"/>
        <v>#VALUE!</v>
      </c>
      <c r="AO104" s="15" t="e">
        <f t="shared" si="194"/>
        <v>#VALUE!</v>
      </c>
      <c r="AP104" t="e">
        <f t="shared" si="195"/>
        <v>#VALUE!</v>
      </c>
      <c r="AQ104" t="e">
        <f t="shared" si="196"/>
        <v>#VALUE!</v>
      </c>
      <c r="AR104" t="e">
        <f t="shared" si="197"/>
        <v>#VALUE!</v>
      </c>
      <c r="AS104" t="e">
        <f t="shared" si="198"/>
        <v>#VALUE!</v>
      </c>
      <c r="AT104" s="15" t="e">
        <f t="shared" si="199"/>
        <v>#VALUE!</v>
      </c>
      <c r="AU104" t="e">
        <f t="shared" si="200"/>
        <v>#VALUE!</v>
      </c>
      <c r="AW104" t="e">
        <f t="shared" si="138"/>
        <v>#VALUE!</v>
      </c>
      <c r="AX104" s="15" t="e">
        <f t="shared" si="139"/>
        <v>#VALUE!</v>
      </c>
      <c r="AY104" s="15"/>
    </row>
    <row r="105" spans="1:51" ht="12.75">
      <c r="A105" s="1" t="s">
        <v>245</v>
      </c>
      <c r="B105" s="1" t="s">
        <v>127</v>
      </c>
      <c r="C105" s="144">
        <v>0.023893015486953908</v>
      </c>
      <c r="D105" s="163">
        <v>8.037250934264138</v>
      </c>
      <c r="E105" s="5">
        <f>F105*$D105</f>
        <v>54.03103713079484</v>
      </c>
      <c r="F105" s="5">
        <v>6.722576857772543</v>
      </c>
      <c r="G105" s="6">
        <f>H105*$D105</f>
        <v>2.8244858881634953</v>
      </c>
      <c r="H105" s="226">
        <v>0.35142437523286</v>
      </c>
      <c r="I105" s="226">
        <v>0.35142437523286</v>
      </c>
      <c r="J105" s="13">
        <f>I105-H105</f>
        <v>0</v>
      </c>
      <c r="K105" s="148">
        <v>0.023893015486953908</v>
      </c>
      <c r="L105" s="133">
        <v>0.03722200223972288</v>
      </c>
      <c r="M105" s="133">
        <v>26.86583041824687</v>
      </c>
      <c r="N105" s="133">
        <v>0.0009509903766568342</v>
      </c>
      <c r="O105" s="15" t="e">
        <f t="shared" si="201"/>
        <v>#VALUE!</v>
      </c>
      <c r="P105" s="15" t="e">
        <f t="shared" si="204"/>
        <v>#VALUE!</v>
      </c>
      <c r="Q105" s="5">
        <v>8.037250934264138</v>
      </c>
      <c r="R105" s="15" t="e">
        <f t="shared" si="202"/>
        <v>#VALUE!</v>
      </c>
      <c r="S105" s="15" t="e">
        <f t="shared" si="203"/>
        <v>#VALUE!</v>
      </c>
      <c r="T105" s="15" t="e">
        <f t="shared" si="174"/>
        <v>#VALUE!</v>
      </c>
      <c r="U105" s="15" t="e">
        <f t="shared" si="175"/>
        <v>#VALUE!</v>
      </c>
      <c r="V105" s="15" t="e">
        <f t="shared" si="137"/>
        <v>#VALUE!</v>
      </c>
      <c r="W105" s="16" t="e">
        <f t="shared" si="176"/>
        <v>#VALUE!</v>
      </c>
      <c r="X105" t="e">
        <f t="shared" si="177"/>
        <v>#VALUE!</v>
      </c>
      <c r="Y105" t="e">
        <f t="shared" si="178"/>
        <v>#VALUE!</v>
      </c>
      <c r="Z105" t="e">
        <f t="shared" si="179"/>
        <v>#VALUE!</v>
      </c>
      <c r="AA105" t="e">
        <f t="shared" si="180"/>
        <v>#VALUE!</v>
      </c>
      <c r="AB105" t="e">
        <f t="shared" si="181"/>
        <v>#VALUE!</v>
      </c>
      <c r="AC105" t="e">
        <f t="shared" si="182"/>
        <v>#VALUE!</v>
      </c>
      <c r="AD105" t="e">
        <f t="shared" si="183"/>
        <v>#VALUE!</v>
      </c>
      <c r="AE105" s="15" t="e">
        <f t="shared" si="184"/>
        <v>#VALUE!</v>
      </c>
      <c r="AF105" t="e">
        <f t="shared" si="185"/>
        <v>#VALUE!</v>
      </c>
      <c r="AG105" t="e">
        <f t="shared" si="186"/>
        <v>#VALUE!</v>
      </c>
      <c r="AH105" t="e">
        <f t="shared" si="187"/>
        <v>#VALUE!</v>
      </c>
      <c r="AI105" t="e">
        <f t="shared" si="188"/>
        <v>#VALUE!</v>
      </c>
      <c r="AJ105" s="15" t="e">
        <f t="shared" si="189"/>
        <v>#VALUE!</v>
      </c>
      <c r="AK105" t="e">
        <f t="shared" si="190"/>
        <v>#VALUE!</v>
      </c>
      <c r="AL105" t="e">
        <f t="shared" si="191"/>
        <v>#VALUE!</v>
      </c>
      <c r="AM105" t="e">
        <f t="shared" si="192"/>
        <v>#VALUE!</v>
      </c>
      <c r="AN105" t="e">
        <f t="shared" si="193"/>
        <v>#VALUE!</v>
      </c>
      <c r="AO105" s="15" t="e">
        <f t="shared" si="194"/>
        <v>#VALUE!</v>
      </c>
      <c r="AP105" t="e">
        <f t="shared" si="195"/>
        <v>#VALUE!</v>
      </c>
      <c r="AQ105" t="e">
        <f t="shared" si="196"/>
        <v>#VALUE!</v>
      </c>
      <c r="AR105" t="e">
        <f t="shared" si="197"/>
        <v>#VALUE!</v>
      </c>
      <c r="AS105" t="e">
        <f t="shared" si="198"/>
        <v>#VALUE!</v>
      </c>
      <c r="AT105" s="15" t="e">
        <f t="shared" si="199"/>
        <v>#VALUE!</v>
      </c>
      <c r="AU105" t="e">
        <f t="shared" si="200"/>
        <v>#VALUE!</v>
      </c>
      <c r="AW105" t="e">
        <f t="shared" si="138"/>
        <v>#VALUE!</v>
      </c>
      <c r="AX105" s="15" t="e">
        <f t="shared" si="139"/>
        <v>#VALUE!</v>
      </c>
      <c r="AY105" s="15"/>
    </row>
    <row r="106" spans="1:52" ht="12.75">
      <c r="A106" s="1" t="s">
        <v>73</v>
      </c>
      <c r="B106" s="3"/>
      <c r="C106" s="144">
        <f>SUM(C107)</f>
        <v>0.01758398098421514</v>
      </c>
      <c r="D106" s="163"/>
      <c r="E106" s="5">
        <f>SUM(E107)</f>
        <v>100.49875692067468</v>
      </c>
      <c r="F106" s="3"/>
      <c r="G106" s="6">
        <f>SUM(G107)</f>
        <v>8.94092719271899</v>
      </c>
      <c r="H106" s="226"/>
      <c r="I106" s="226"/>
      <c r="J106" s="13">
        <f>I106-H106</f>
        <v>0</v>
      </c>
      <c r="K106" s="148"/>
      <c r="L106" s="133"/>
      <c r="M106" s="133"/>
      <c r="N106" s="133"/>
      <c r="P106" s="15"/>
      <c r="Q106" s="5"/>
      <c r="T106" s="15">
        <f t="shared" si="174"/>
        <v>0</v>
      </c>
      <c r="U106" s="15">
        <f t="shared" si="175"/>
        <v>0</v>
      </c>
      <c r="V106" s="15" t="e">
        <f t="shared" si="137"/>
        <v>#VALUE!</v>
      </c>
      <c r="W106" s="16">
        <f t="shared" si="176"/>
        <v>0</v>
      </c>
      <c r="X106">
        <f t="shared" si="177"/>
        <v>0</v>
      </c>
      <c r="Y106">
        <f t="shared" si="178"/>
        <v>0</v>
      </c>
      <c r="Z106">
        <f t="shared" si="179"/>
        <v>0</v>
      </c>
      <c r="AA106" t="e">
        <f t="shared" si="180"/>
        <v>#VALUE!</v>
      </c>
      <c r="AB106">
        <f t="shared" si="181"/>
        <v>0</v>
      </c>
      <c r="AC106">
        <f t="shared" si="182"/>
        <v>0</v>
      </c>
      <c r="AD106">
        <f t="shared" si="183"/>
        <v>0</v>
      </c>
      <c r="AE106" s="15">
        <f t="shared" si="184"/>
        <v>0</v>
      </c>
      <c r="AF106" t="e">
        <f t="shared" si="185"/>
        <v>#VALUE!</v>
      </c>
      <c r="AG106">
        <f t="shared" si="186"/>
        <v>0</v>
      </c>
      <c r="AH106">
        <f t="shared" si="187"/>
        <v>0</v>
      </c>
      <c r="AI106">
        <f t="shared" si="188"/>
        <v>0</v>
      </c>
      <c r="AJ106" s="15">
        <f t="shared" si="189"/>
        <v>0</v>
      </c>
      <c r="AK106" t="e">
        <f t="shared" si="190"/>
        <v>#VALUE!</v>
      </c>
      <c r="AL106">
        <f t="shared" si="191"/>
        <v>0</v>
      </c>
      <c r="AM106">
        <f t="shared" si="192"/>
        <v>0</v>
      </c>
      <c r="AN106">
        <f t="shared" si="193"/>
        <v>0</v>
      </c>
      <c r="AO106" s="15">
        <f t="shared" si="194"/>
        <v>0</v>
      </c>
      <c r="AP106" t="e">
        <f t="shared" si="195"/>
        <v>#VALUE!</v>
      </c>
      <c r="AQ106">
        <f t="shared" si="196"/>
        <v>0</v>
      </c>
      <c r="AR106">
        <f t="shared" si="197"/>
        <v>0</v>
      </c>
      <c r="AS106">
        <f t="shared" si="198"/>
        <v>0</v>
      </c>
      <c r="AT106" s="15">
        <f t="shared" si="199"/>
        <v>0</v>
      </c>
      <c r="AU106" t="e">
        <f t="shared" si="200"/>
        <v>#VALUE!</v>
      </c>
      <c r="AW106">
        <f t="shared" si="138"/>
        <v>0</v>
      </c>
      <c r="AX106" s="15" t="e">
        <f t="shared" si="139"/>
        <v>#VALUE!</v>
      </c>
      <c r="AY106" s="15" t="e">
        <f>SUM(AW107:AX107)</f>
        <v>#VALUE!</v>
      </c>
      <c r="AZ106" t="s">
        <v>0</v>
      </c>
    </row>
    <row r="107" spans="1:51" ht="12.75">
      <c r="A107" s="1" t="s">
        <v>74</v>
      </c>
      <c r="B107" s="1" t="s">
        <v>148</v>
      </c>
      <c r="C107" s="144">
        <v>0.01758398098421514</v>
      </c>
      <c r="D107" s="163">
        <v>5.914986648321282</v>
      </c>
      <c r="E107" s="5">
        <f>F107*$D107</f>
        <v>100.49875692067468</v>
      </c>
      <c r="F107" s="5">
        <v>16.99052980097546</v>
      </c>
      <c r="G107" s="6">
        <f>H107*$D107</f>
        <v>8.94092719271899</v>
      </c>
      <c r="H107" s="226">
        <v>1.5115718300490997</v>
      </c>
      <c r="I107" s="226">
        <v>1.5115718300490997</v>
      </c>
      <c r="J107" s="13">
        <f>I107-H107</f>
        <v>0</v>
      </c>
      <c r="K107" s="148">
        <v>0.01758398098421514</v>
      </c>
      <c r="L107" s="133">
        <v>0.02739340205655821</v>
      </c>
      <c r="M107" s="133">
        <v>36.505140834107955</v>
      </c>
      <c r="N107" s="133">
        <v>0.0012922004304828966</v>
      </c>
      <c r="O107" s="15" t="e">
        <f t="shared" si="201"/>
        <v>#VALUE!</v>
      </c>
      <c r="P107" s="15" t="e">
        <f t="shared" si="204"/>
        <v>#VALUE!</v>
      </c>
      <c r="Q107" s="5">
        <v>5.914986648321282</v>
      </c>
      <c r="R107" s="15" t="e">
        <f t="shared" si="202"/>
        <v>#VALUE!</v>
      </c>
      <c r="S107" s="15" t="e">
        <f t="shared" si="203"/>
        <v>#VALUE!</v>
      </c>
      <c r="T107" s="15" t="e">
        <f t="shared" si="174"/>
        <v>#VALUE!</v>
      </c>
      <c r="U107" s="15" t="e">
        <f t="shared" si="175"/>
        <v>#VALUE!</v>
      </c>
      <c r="V107" s="15" t="e">
        <f t="shared" si="137"/>
        <v>#VALUE!</v>
      </c>
      <c r="W107" s="16" t="e">
        <f t="shared" si="176"/>
        <v>#VALUE!</v>
      </c>
      <c r="X107" t="e">
        <f t="shared" si="177"/>
        <v>#VALUE!</v>
      </c>
      <c r="Y107" t="e">
        <f t="shared" si="178"/>
        <v>#VALUE!</v>
      </c>
      <c r="Z107" t="e">
        <f t="shared" si="179"/>
        <v>#VALUE!</v>
      </c>
      <c r="AA107" t="e">
        <f t="shared" si="180"/>
        <v>#VALUE!</v>
      </c>
      <c r="AB107" t="e">
        <f t="shared" si="181"/>
        <v>#VALUE!</v>
      </c>
      <c r="AC107" t="e">
        <f t="shared" si="182"/>
        <v>#VALUE!</v>
      </c>
      <c r="AD107" t="e">
        <f t="shared" si="183"/>
        <v>#VALUE!</v>
      </c>
      <c r="AE107" s="15" t="e">
        <f t="shared" si="184"/>
        <v>#VALUE!</v>
      </c>
      <c r="AF107" t="e">
        <f t="shared" si="185"/>
        <v>#VALUE!</v>
      </c>
      <c r="AG107" t="e">
        <f t="shared" si="186"/>
        <v>#VALUE!</v>
      </c>
      <c r="AH107" t="e">
        <f t="shared" si="187"/>
        <v>#VALUE!</v>
      </c>
      <c r="AI107" t="e">
        <f t="shared" si="188"/>
        <v>#VALUE!</v>
      </c>
      <c r="AJ107" s="15" t="e">
        <f t="shared" si="189"/>
        <v>#VALUE!</v>
      </c>
      <c r="AK107" t="e">
        <f t="shared" si="190"/>
        <v>#VALUE!</v>
      </c>
      <c r="AL107" t="e">
        <f t="shared" si="191"/>
        <v>#VALUE!</v>
      </c>
      <c r="AM107" t="e">
        <f t="shared" si="192"/>
        <v>#VALUE!</v>
      </c>
      <c r="AN107" t="e">
        <f t="shared" si="193"/>
        <v>#VALUE!</v>
      </c>
      <c r="AO107" s="15" t="e">
        <f t="shared" si="194"/>
        <v>#VALUE!</v>
      </c>
      <c r="AP107" t="e">
        <f t="shared" si="195"/>
        <v>#VALUE!</v>
      </c>
      <c r="AQ107" t="e">
        <f t="shared" si="196"/>
        <v>#VALUE!</v>
      </c>
      <c r="AR107" t="e">
        <f t="shared" si="197"/>
        <v>#VALUE!</v>
      </c>
      <c r="AS107" t="e">
        <f t="shared" si="198"/>
        <v>#VALUE!</v>
      </c>
      <c r="AT107" s="15" t="e">
        <f t="shared" si="199"/>
        <v>#VALUE!</v>
      </c>
      <c r="AU107" t="e">
        <f t="shared" si="200"/>
        <v>#VALUE!</v>
      </c>
      <c r="AW107" t="e">
        <f aca="true" t="shared" si="205" ref="AW107:AW113">AS107</f>
        <v>#VALUE!</v>
      </c>
      <c r="AX107" s="15" t="e">
        <f aca="true" t="shared" si="206" ref="AX107:AX113">AU107</f>
        <v>#VALUE!</v>
      </c>
      <c r="AY107" s="15"/>
    </row>
    <row r="108" spans="1:52" ht="12.75">
      <c r="A108" s="1" t="s">
        <v>75</v>
      </c>
      <c r="B108" s="3"/>
      <c r="C108" s="144">
        <f>SUM(C109:C111)</f>
        <v>0.00929908486192985</v>
      </c>
      <c r="D108" s="163"/>
      <c r="E108" s="5">
        <f>SUM(E109:E111)</f>
        <v>227.06055442888325</v>
      </c>
      <c r="F108" s="3"/>
      <c r="G108" s="6">
        <f>SUM(G109:G111)</f>
        <v>11.075378600845236</v>
      </c>
      <c r="H108" s="226"/>
      <c r="I108" s="226"/>
      <c r="J108" s="13">
        <f>I108-H108</f>
        <v>0</v>
      </c>
      <c r="K108" s="148"/>
      <c r="L108" s="133"/>
      <c r="M108" s="133"/>
      <c r="N108" s="133"/>
      <c r="P108" s="15"/>
      <c r="Q108" s="5"/>
      <c r="T108" s="15">
        <f>IF(S108=0,Q108*I108,0)</f>
        <v>0</v>
      </c>
      <c r="U108" s="15">
        <f>IF(S108=0,0,S108*I108)</f>
        <v>0</v>
      </c>
      <c r="V108" s="15" t="e">
        <f t="shared" si="137"/>
        <v>#VALUE!</v>
      </c>
      <c r="W108" s="16">
        <f>IF(I108=0,0,V108/I108)</f>
        <v>0</v>
      </c>
      <c r="X108">
        <f>IF(W108&lt;Q108,W108,0)</f>
        <v>0</v>
      </c>
      <c r="Y108">
        <f>IF(X108=0,Q108*I108,0)</f>
        <v>0</v>
      </c>
      <c r="Z108">
        <f>IF(X108=0,0,I108*X108)</f>
        <v>0</v>
      </c>
      <c r="AA108" t="e">
        <f>$AA$7/$Z$7*Z108</f>
        <v>#VALUE!</v>
      </c>
      <c r="AB108">
        <f>IF(I108=0,0,AA108/I108)</f>
        <v>0</v>
      </c>
      <c r="AC108">
        <f>IF(AB108&lt;Q108,AB108,0)</f>
        <v>0</v>
      </c>
      <c r="AD108">
        <f>IF(AC108=0,$Q108*$I108,0)</f>
        <v>0</v>
      </c>
      <c r="AE108" s="15">
        <f>IF(AC108=0,0,AC108*$I108)</f>
        <v>0</v>
      </c>
      <c r="AF108" t="e">
        <f>$AF$7/$AE$7*AE108</f>
        <v>#VALUE!</v>
      </c>
      <c r="AG108">
        <f>IF($I108=0,0,AF108/$I108)</f>
        <v>0</v>
      </c>
      <c r="AH108">
        <f>IF(AG108&lt;$Q108,AG108,0)</f>
        <v>0</v>
      </c>
      <c r="AI108">
        <f>IF(AH108=0,$Q108*$I108,0)</f>
        <v>0</v>
      </c>
      <c r="AJ108" s="15">
        <f>IF(AH108=0,0,AH108*$I108)</f>
        <v>0</v>
      </c>
      <c r="AK108" t="e">
        <f>$AK$7/$AJ$7*AJ108</f>
        <v>#VALUE!</v>
      </c>
      <c r="AL108">
        <f>IF($I108=0,0,AK108/$I108)</f>
        <v>0</v>
      </c>
      <c r="AM108">
        <f>IF(AL108&lt;$Q108,AL108,0)</f>
        <v>0</v>
      </c>
      <c r="AN108">
        <f>IF(AM108=0,$Q108*$I108,0)</f>
        <v>0</v>
      </c>
      <c r="AO108" s="15">
        <f>IF(AM108=0,0,AM108*$I108)</f>
        <v>0</v>
      </c>
      <c r="AP108" t="e">
        <f>$AP$7/$AO$7*AO108</f>
        <v>#VALUE!</v>
      </c>
      <c r="AQ108">
        <f>IF($I108=0,0,AP108/$I108)</f>
        <v>0</v>
      </c>
      <c r="AR108">
        <f>IF(AQ108&lt;$Q108,AQ108,0)</f>
        <v>0</v>
      </c>
      <c r="AS108">
        <f>IF(AR108=0,$Q108*$I108,0)</f>
        <v>0</v>
      </c>
      <c r="AT108" s="15">
        <f>IF(AR108=0,0,AR108*$I108)</f>
        <v>0</v>
      </c>
      <c r="AU108" t="e">
        <f>$AU$7/$AT$7*AT108</f>
        <v>#VALUE!</v>
      </c>
      <c r="AW108">
        <f t="shared" si="205"/>
        <v>0</v>
      </c>
      <c r="AX108" s="15" t="e">
        <f t="shared" si="206"/>
        <v>#VALUE!</v>
      </c>
      <c r="AY108" s="15" t="e">
        <f>SUM(AW109:AX110)</f>
        <v>#VALUE!</v>
      </c>
      <c r="AZ108" t="s">
        <v>0</v>
      </c>
    </row>
    <row r="109" spans="1:51" ht="12.75">
      <c r="A109" s="1" t="s">
        <v>76</v>
      </c>
      <c r="B109" s="3"/>
      <c r="C109" s="144">
        <v>0.00584900440540414</v>
      </c>
      <c r="D109" s="163">
        <v>1.9675170824510573</v>
      </c>
      <c r="E109" s="5">
        <f>F109*$D109</f>
        <v>95.21956712703486</v>
      </c>
      <c r="F109" s="5">
        <v>48.39580198633599</v>
      </c>
      <c r="G109" s="6">
        <f>H109*$D109</f>
        <v>2.008125284220143</v>
      </c>
      <c r="H109" s="226">
        <v>1.02063931344296</v>
      </c>
      <c r="I109" s="226">
        <v>1.02063931344296</v>
      </c>
      <c r="J109" s="13" t="s">
        <v>137</v>
      </c>
      <c r="K109" s="148">
        <v>0.00584900440540414</v>
      </c>
      <c r="L109" s="133">
        <v>0.009111937134807326</v>
      </c>
      <c r="M109" s="133">
        <v>109.74614785038739</v>
      </c>
      <c r="N109" s="133">
        <v>0.0038847684533135315</v>
      </c>
      <c r="O109" s="15" t="e">
        <f>N109*$O$7</f>
        <v>#VALUE!</v>
      </c>
      <c r="P109" s="15" t="e">
        <f t="shared" si="204"/>
        <v>#VALUE!</v>
      </c>
      <c r="Q109" s="5">
        <v>1.9675170824510573</v>
      </c>
      <c r="R109" s="15" t="e">
        <f>IF(P109&lt;Q109,P109*H109,0)</f>
        <v>#VALUE!</v>
      </c>
      <c r="S109" s="15" t="e">
        <f>IF(P109&lt;Q109,P99:P109,0)</f>
        <v>#VALUE!</v>
      </c>
      <c r="T109" s="15" t="e">
        <f>IF(S109=0,Q109*I109,0)</f>
        <v>#VALUE!</v>
      </c>
      <c r="U109" s="15" t="e">
        <f>IF(S109=0,0,S109*I109)</f>
        <v>#VALUE!</v>
      </c>
      <c r="V109" s="15" t="e">
        <f t="shared" si="137"/>
        <v>#VALUE!</v>
      </c>
      <c r="W109" s="16" t="e">
        <f>IF(I109=0,0,V109/I109)</f>
        <v>#VALUE!</v>
      </c>
      <c r="X109" t="e">
        <f>IF(W109&lt;Q109,W109,0)</f>
        <v>#VALUE!</v>
      </c>
      <c r="Y109" t="e">
        <f>IF(X109=0,Q109*I109,0)</f>
        <v>#VALUE!</v>
      </c>
      <c r="Z109" t="e">
        <f>IF(X109=0,0,I109*X109)</f>
        <v>#VALUE!</v>
      </c>
      <c r="AA109" t="e">
        <f>$AA$7/$Z$7*Z109</f>
        <v>#VALUE!</v>
      </c>
      <c r="AB109" t="e">
        <f>IF(I109=0,0,AA109/I109)</f>
        <v>#VALUE!</v>
      </c>
      <c r="AC109" t="e">
        <f>IF(AB109&lt;Q109,AB109,0)</f>
        <v>#VALUE!</v>
      </c>
      <c r="AD109" t="e">
        <f>IF(AC109=0,$Q109*$I109,0)</f>
        <v>#VALUE!</v>
      </c>
      <c r="AE109" s="15" t="e">
        <f>IF(AC109=0,0,AC109*$I109)</f>
        <v>#VALUE!</v>
      </c>
      <c r="AF109" t="e">
        <f>$AF$7/$AE$7*AE109</f>
        <v>#VALUE!</v>
      </c>
      <c r="AG109" t="e">
        <f>IF($I109=0,0,AF109/$I109)</f>
        <v>#VALUE!</v>
      </c>
      <c r="AH109" t="e">
        <f>IF(AG109&lt;$Q109,AG109,0)</f>
        <v>#VALUE!</v>
      </c>
      <c r="AI109" t="e">
        <f>IF(AH109=0,$Q109*$I109,0)</f>
        <v>#VALUE!</v>
      </c>
      <c r="AJ109" s="15" t="e">
        <f>IF(AH109=0,0,AH109*$I109)</f>
        <v>#VALUE!</v>
      </c>
      <c r="AK109" t="e">
        <f>$AK$7/$AJ$7*AJ109</f>
        <v>#VALUE!</v>
      </c>
      <c r="AL109" t="e">
        <f>IF($I109=0,0,AK109/$I109)</f>
        <v>#VALUE!</v>
      </c>
      <c r="AM109" t="e">
        <f>IF(AL109&lt;$Q109,AL109,0)</f>
        <v>#VALUE!</v>
      </c>
      <c r="AN109" t="e">
        <f>IF(AM109=0,$Q109*$I109,0)</f>
        <v>#VALUE!</v>
      </c>
      <c r="AO109" s="15" t="e">
        <f>IF(AM109=0,0,AM109*$I109)</f>
        <v>#VALUE!</v>
      </c>
      <c r="AP109" t="e">
        <f>$AP$7/$AO$7*AO109</f>
        <v>#VALUE!</v>
      </c>
      <c r="AQ109" t="e">
        <f>IF($I109=0,0,AP109/$I109)</f>
        <v>#VALUE!</v>
      </c>
      <c r="AR109" t="e">
        <f>IF(AQ109&lt;$Q109,AQ109,0)</f>
        <v>#VALUE!</v>
      </c>
      <c r="AS109" t="e">
        <f>IF(AR109=0,$Q109*$I109,0)</f>
        <v>#VALUE!</v>
      </c>
      <c r="AT109" s="15" t="e">
        <f>IF(AR109=0,0,AR109*$I109)</f>
        <v>#VALUE!</v>
      </c>
      <c r="AU109" t="e">
        <f>$AU$7/$AT$7*AT109</f>
        <v>#VALUE!</v>
      </c>
      <c r="AW109" t="e">
        <f t="shared" si="205"/>
        <v>#VALUE!</v>
      </c>
      <c r="AX109" s="15" t="e">
        <f t="shared" si="206"/>
        <v>#VALUE!</v>
      </c>
      <c r="AY109" s="15"/>
    </row>
    <row r="110" spans="1:51" ht="12.75">
      <c r="A110" s="1" t="s">
        <v>77</v>
      </c>
      <c r="B110" s="4"/>
      <c r="C110" s="144">
        <v>0.0032320828438088894</v>
      </c>
      <c r="D110" s="163">
        <v>1.0872240412770884</v>
      </c>
      <c r="E110" s="5">
        <f>F110*$D110</f>
        <v>101.40098730184839</v>
      </c>
      <c r="F110" s="5">
        <v>93.26595389</v>
      </c>
      <c r="G110" s="6">
        <f>H110*$D110</f>
        <v>3.082662206295353</v>
      </c>
      <c r="H110" s="226">
        <v>2.83535139884725</v>
      </c>
      <c r="I110" s="226">
        <v>2.83535139884725</v>
      </c>
      <c r="J110" s="13" t="s">
        <v>137</v>
      </c>
      <c r="K110" s="148">
        <v>0.0032320828438088894</v>
      </c>
      <c r="L110" s="133">
        <v>0.00503513651999737</v>
      </c>
      <c r="M110" s="133">
        <v>198.60434687886524</v>
      </c>
      <c r="N110" s="133">
        <v>0.007030150183473889</v>
      </c>
      <c r="O110" s="15" t="e">
        <f>N110*$O$7</f>
        <v>#VALUE!</v>
      </c>
      <c r="P110" s="15" t="e">
        <f t="shared" si="204"/>
        <v>#VALUE!</v>
      </c>
      <c r="Q110" s="5">
        <v>1.0872240412770884</v>
      </c>
      <c r="R110" s="15" t="e">
        <f>IF(P110&lt;Q110,P110*H110,0)</f>
        <v>#VALUE!</v>
      </c>
      <c r="S110" s="15" t="e">
        <f>IF(P110&lt;Q110,P100:P110,0)</f>
        <v>#VALUE!</v>
      </c>
      <c r="T110" s="15" t="e">
        <f>IF(S110=0,Q110*I110,0)</f>
        <v>#VALUE!</v>
      </c>
      <c r="U110" s="15" t="e">
        <f>IF(S110=0,0,S110*I110)</f>
        <v>#VALUE!</v>
      </c>
      <c r="V110" s="15" t="e">
        <f t="shared" si="137"/>
        <v>#VALUE!</v>
      </c>
      <c r="W110" s="16" t="e">
        <f>IF(I110=0,0,V110/I110)</f>
        <v>#VALUE!</v>
      </c>
      <c r="X110" t="e">
        <f>IF(W110&lt;Q110,W110,0)</f>
        <v>#VALUE!</v>
      </c>
      <c r="Y110" t="e">
        <f>IF(X110=0,Q110*I110,0)</f>
        <v>#VALUE!</v>
      </c>
      <c r="Z110" t="e">
        <f>IF(X110=0,0,I110*X110)</f>
        <v>#VALUE!</v>
      </c>
      <c r="AA110" t="e">
        <f>$AA$7/$Z$7*Z110</f>
        <v>#VALUE!</v>
      </c>
      <c r="AB110" t="e">
        <f>IF(I110=0,0,AA110/I110)</f>
        <v>#VALUE!</v>
      </c>
      <c r="AC110" t="e">
        <f>IF(AB110&lt;Q110,AB110,0)</f>
        <v>#VALUE!</v>
      </c>
      <c r="AD110" t="e">
        <f>IF(AC110=0,$Q110*$I110,0)</f>
        <v>#VALUE!</v>
      </c>
      <c r="AE110" s="15" t="e">
        <f>IF(AC110=0,0,AC110*$I110)</f>
        <v>#VALUE!</v>
      </c>
      <c r="AF110" t="e">
        <f>$AF$7/$AE$7*AE110</f>
        <v>#VALUE!</v>
      </c>
      <c r="AG110" t="e">
        <f>IF($I110=0,0,AF110/$I110)</f>
        <v>#VALUE!</v>
      </c>
      <c r="AH110" t="e">
        <f>IF(AG110&lt;$Q110,AG110,0)</f>
        <v>#VALUE!</v>
      </c>
      <c r="AI110" t="e">
        <f>IF(AH110=0,$Q110*$I110,0)</f>
        <v>#VALUE!</v>
      </c>
      <c r="AJ110" s="15" t="e">
        <f>IF(AH110=0,0,AH110*$I110)</f>
        <v>#VALUE!</v>
      </c>
      <c r="AK110" t="e">
        <f>$AK$7/$AJ$7*AJ110</f>
        <v>#VALUE!</v>
      </c>
      <c r="AL110" t="e">
        <f>IF($I110=0,0,AK110/$I110)</f>
        <v>#VALUE!</v>
      </c>
      <c r="AM110" t="e">
        <f>IF(AL110&lt;$Q110,AL110,0)</f>
        <v>#VALUE!</v>
      </c>
      <c r="AN110" t="e">
        <f>IF(AM110=0,$Q110*$I110,0)</f>
        <v>#VALUE!</v>
      </c>
      <c r="AO110" s="15" t="e">
        <f>IF(AM110=0,0,AM110*$I110)</f>
        <v>#VALUE!</v>
      </c>
      <c r="AP110" t="e">
        <f>$AP$7/$AO$7*AO110</f>
        <v>#VALUE!</v>
      </c>
      <c r="AQ110" t="e">
        <f>IF($I110=0,0,AP110/$I110)</f>
        <v>#VALUE!</v>
      </c>
      <c r="AR110" t="e">
        <f>IF(AQ110&lt;$Q110,AQ110,0)</f>
        <v>#VALUE!</v>
      </c>
      <c r="AS110" t="e">
        <f>IF(AR110=0,$Q110*$I110,0)</f>
        <v>#VALUE!</v>
      </c>
      <c r="AT110" s="15" t="e">
        <f>IF(AR110=0,0,AR110*$I110)</f>
        <v>#VALUE!</v>
      </c>
      <c r="AU110" t="e">
        <f>$AU$7/$AT$7*AT110</f>
        <v>#VALUE!</v>
      </c>
      <c r="AW110" t="e">
        <f t="shared" si="205"/>
        <v>#VALUE!</v>
      </c>
      <c r="AX110" s="15" t="e">
        <f t="shared" si="206"/>
        <v>#VALUE!</v>
      </c>
      <c r="AY110" s="15"/>
    </row>
    <row r="111" spans="1:51" ht="12.75">
      <c r="A111" s="150" t="s">
        <v>266</v>
      </c>
      <c r="B111" s="11"/>
      <c r="C111" s="145">
        <v>0.00021799761271682052</v>
      </c>
      <c r="D111" s="164">
        <v>0.07333111709705717</v>
      </c>
      <c r="E111" s="5">
        <f>F111*$D111</f>
        <v>30.439999999999998</v>
      </c>
      <c r="F111" s="10">
        <v>415.1034541</v>
      </c>
      <c r="G111" s="6">
        <f>H111*$D111</f>
        <v>5.98459111032974</v>
      </c>
      <c r="H111" s="226">
        <v>81.61052698009296</v>
      </c>
      <c r="I111" s="226">
        <v>81.61052698009296</v>
      </c>
      <c r="J111" s="13">
        <f>I111-H111</f>
        <v>0</v>
      </c>
      <c r="K111" s="149"/>
      <c r="L111" s="133"/>
      <c r="M111" s="133"/>
      <c r="N111" s="133"/>
      <c r="Q111" s="10">
        <v>0.07333111709705717</v>
      </c>
      <c r="AO111" s="15"/>
      <c r="AT111" s="15"/>
      <c r="AW111">
        <f t="shared" si="205"/>
        <v>0</v>
      </c>
      <c r="AX111" s="15">
        <f t="shared" si="206"/>
        <v>0</v>
      </c>
      <c r="AY111" s="15"/>
    </row>
    <row r="112" spans="1:51" ht="12.75">
      <c r="A112" s="1" t="s">
        <v>78</v>
      </c>
      <c r="B112" s="4"/>
      <c r="C112" s="144">
        <f>SUM(C113)</f>
        <v>0.34560404187574745</v>
      </c>
      <c r="D112" s="164"/>
      <c r="E112" s="5">
        <f>SUM(E113)</f>
        <v>348.76800000000003</v>
      </c>
      <c r="F112" s="3"/>
      <c r="G112" s="6">
        <f>SUM(G113)</f>
        <v>26.169969235689216</v>
      </c>
      <c r="H112" s="226"/>
      <c r="I112" s="226"/>
      <c r="J112" s="13">
        <f>I112-H112</f>
        <v>0</v>
      </c>
      <c r="K112" s="149"/>
      <c r="L112" s="133"/>
      <c r="M112" s="133"/>
      <c r="N112" s="133"/>
      <c r="Q112" s="10"/>
      <c r="AW112">
        <f t="shared" si="205"/>
        <v>0</v>
      </c>
      <c r="AX112" s="15">
        <f t="shared" si="206"/>
        <v>0</v>
      </c>
      <c r="AY112" s="15" t="s">
        <v>0</v>
      </c>
    </row>
    <row r="113" spans="1:51" ht="12.75">
      <c r="A113" s="150" t="s">
        <v>79</v>
      </c>
      <c r="B113" s="1" t="s">
        <v>149</v>
      </c>
      <c r="C113" s="145">
        <v>0.34560404187574745</v>
      </c>
      <c r="D113" s="164">
        <v>116.256</v>
      </c>
      <c r="E113" s="5">
        <f>F113*$D113</f>
        <v>348.76800000000003</v>
      </c>
      <c r="F113" s="5">
        <v>3</v>
      </c>
      <c r="G113" s="6">
        <f>H113*$D113</f>
        <v>26.169969235689216</v>
      </c>
      <c r="H113" s="226">
        <v>0.225106396536</v>
      </c>
      <c r="I113" s="226">
        <v>0.225106396536</v>
      </c>
      <c r="J113" s="13">
        <f>I113-H113</f>
        <v>0</v>
      </c>
      <c r="K113" s="149"/>
      <c r="L113" s="133"/>
      <c r="M113" s="133"/>
      <c r="N113" s="133"/>
      <c r="O113" s="15" t="s">
        <v>0</v>
      </c>
      <c r="Q113" s="10">
        <v>116.256</v>
      </c>
      <c r="AE113" s="15" t="s">
        <v>0</v>
      </c>
      <c r="AF113" t="s">
        <v>0</v>
      </c>
      <c r="AU113" t="s">
        <v>0</v>
      </c>
      <c r="AW113">
        <f t="shared" si="205"/>
        <v>0</v>
      </c>
      <c r="AX113" s="15" t="str">
        <f t="shared" si="206"/>
        <v> </v>
      </c>
      <c r="AY113" s="15"/>
    </row>
    <row r="114" spans="8:51" ht="12.75">
      <c r="H114" s="226">
        <v>46.77543228793486</v>
      </c>
      <c r="I114" s="226">
        <v>46.77543228793486</v>
      </c>
      <c r="AY114" s="15"/>
    </row>
    <row r="115" spans="4:51" ht="12.75">
      <c r="D115" s="13"/>
      <c r="H115" s="69"/>
      <c r="I115" s="69"/>
      <c r="AY115" s="15"/>
    </row>
    <row r="116" spans="8:51" ht="12.75">
      <c r="H116" s="12"/>
      <c r="AY116" s="15"/>
    </row>
    <row r="117" ht="12.75">
      <c r="AY117" s="15"/>
    </row>
    <row r="118" ht="12.75">
      <c r="AY118" s="15"/>
    </row>
    <row r="119" ht="12.75">
      <c r="AY119" s="15"/>
    </row>
    <row r="120" spans="15:51" ht="12.75">
      <c r="O120"/>
      <c r="AY120" s="15"/>
    </row>
    <row r="121" spans="15:51" ht="12.75">
      <c r="O121"/>
      <c r="AY121" s="15"/>
    </row>
    <row r="122" spans="15:51" ht="12.75">
      <c r="O122"/>
      <c r="AY122" s="15"/>
    </row>
    <row r="123" spans="15:51" ht="12.75">
      <c r="O123"/>
      <c r="AY123" s="15"/>
    </row>
    <row r="124" spans="15:51" ht="12.75">
      <c r="O124"/>
      <c r="AY124" s="15"/>
    </row>
    <row r="125" spans="15:51" ht="12.75">
      <c r="O125"/>
      <c r="AY125" s="15"/>
    </row>
    <row r="126" spans="15:51" ht="12.75">
      <c r="O126"/>
      <c r="AY126" s="15"/>
    </row>
    <row r="127" spans="15:51" ht="12.75">
      <c r="O127"/>
      <c r="AY127" s="15"/>
    </row>
    <row r="128" spans="15:51" ht="12.75">
      <c r="O128"/>
      <c r="AY128" s="15"/>
    </row>
    <row r="129" spans="15:51" ht="12.75">
      <c r="O129"/>
      <c r="AY129" s="15"/>
    </row>
    <row r="130" spans="15:51" ht="12.75">
      <c r="O130"/>
      <c r="AY130" s="15"/>
    </row>
    <row r="131" spans="15:51" ht="12.75">
      <c r="O131"/>
      <c r="AY131" s="15"/>
    </row>
    <row r="132" spans="15:51" ht="12.75">
      <c r="O132"/>
      <c r="AY132" s="15"/>
    </row>
    <row r="133" spans="15:51" ht="12.75">
      <c r="O133"/>
      <c r="AY133" s="15"/>
    </row>
    <row r="134" spans="15:51" ht="12.75">
      <c r="O134"/>
      <c r="AY134" s="15"/>
    </row>
    <row r="135" spans="15:51" ht="12.75">
      <c r="O135"/>
      <c r="AY135" s="15"/>
    </row>
    <row r="136" spans="15:51" ht="12.75">
      <c r="O136"/>
      <c r="AY136" s="15"/>
    </row>
    <row r="137" ht="12.75">
      <c r="O137"/>
    </row>
    <row r="138" ht="12.75">
      <c r="O138"/>
    </row>
    <row r="139" ht="12.75">
      <c r="O139"/>
    </row>
    <row r="140" ht="12.75">
      <c r="O140"/>
    </row>
    <row r="141" ht="12.75">
      <c r="O141"/>
    </row>
    <row r="142" ht="12.75">
      <c r="O142"/>
    </row>
    <row r="143" ht="12.75">
      <c r="O143"/>
    </row>
    <row r="144" ht="12.75">
      <c r="O144"/>
    </row>
    <row r="177" ht="12.75">
      <c r="O177"/>
    </row>
    <row r="178" ht="12.75">
      <c r="O178"/>
    </row>
    <row r="179" ht="12.75">
      <c r="O179"/>
    </row>
    <row r="180" ht="12.75">
      <c r="O180"/>
    </row>
    <row r="181" ht="12.75">
      <c r="O181"/>
    </row>
    <row r="182" ht="12.75">
      <c r="O182"/>
    </row>
  </sheetData>
  <sheetProtection/>
  <printOptions gridLines="1" horizontalCentered="1"/>
  <pageMargins left="0.984251968503937" right="0.7874015748031497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K22" sqref="K21:K22"/>
    </sheetView>
  </sheetViews>
  <sheetFormatPr defaultColWidth="11.421875" defaultRowHeight="12.75"/>
  <cols>
    <col min="1" max="1" width="5.140625" style="0" customWidth="1"/>
    <col min="2" max="2" width="24.28125" style="0" customWidth="1"/>
    <col min="3" max="3" width="0" style="0" hidden="1" customWidth="1"/>
    <col min="4" max="4" width="13.7109375" style="0" customWidth="1"/>
    <col min="5" max="5" width="11.57421875" style="0" customWidth="1"/>
    <col min="7" max="7" width="9.8515625" style="0" customWidth="1"/>
    <col min="8" max="8" width="9.421875" style="0" customWidth="1"/>
  </cols>
  <sheetData>
    <row r="1" spans="1:8" ht="18">
      <c r="A1" s="233" t="s">
        <v>275</v>
      </c>
      <c r="B1" s="233"/>
      <c r="C1" s="233"/>
      <c r="D1" s="233"/>
      <c r="E1" s="233"/>
      <c r="F1" s="233"/>
      <c r="G1" s="233"/>
      <c r="H1" s="233"/>
    </row>
    <row r="2" spans="1:8" ht="18">
      <c r="A2" s="151"/>
      <c r="B2" s="151"/>
      <c r="C2" s="151"/>
      <c r="D2" s="151"/>
      <c r="E2" s="151"/>
      <c r="F2" s="151"/>
      <c r="G2" s="151"/>
      <c r="H2" s="151"/>
    </row>
    <row r="3" spans="1:9" ht="12.75">
      <c r="A3" s="239" t="s">
        <v>359</v>
      </c>
      <c r="B3" s="240"/>
      <c r="C3" s="240"/>
      <c r="D3" s="240"/>
      <c r="E3" s="240"/>
      <c r="F3" s="240"/>
      <c r="G3" s="240"/>
      <c r="H3" s="240"/>
      <c r="I3" s="22"/>
    </row>
    <row r="4" spans="1:9" ht="12.75">
      <c r="A4" s="230" t="s">
        <v>358</v>
      </c>
      <c r="B4" s="241"/>
      <c r="C4" s="241"/>
      <c r="D4" s="241"/>
      <c r="E4" s="241"/>
      <c r="F4" s="241"/>
      <c r="G4" s="241"/>
      <c r="H4" s="241"/>
      <c r="I4" s="22"/>
    </row>
    <row r="5" spans="1:9" ht="12.75">
      <c r="A5" s="153"/>
      <c r="B5" s="153"/>
      <c r="C5" s="153"/>
      <c r="D5" s="153"/>
      <c r="E5" s="153"/>
      <c r="F5" s="153"/>
      <c r="G5" s="153"/>
      <c r="H5" s="23"/>
      <c r="I5" s="22"/>
    </row>
    <row r="6" spans="1:9" ht="12.75">
      <c r="A6" s="24"/>
      <c r="B6" s="23"/>
      <c r="C6" s="23"/>
      <c r="D6" s="23"/>
      <c r="E6" s="23"/>
      <c r="F6" s="23"/>
      <c r="G6" s="23"/>
      <c r="H6" s="23"/>
      <c r="I6" s="22"/>
    </row>
    <row r="7" spans="1:9" ht="12.75">
      <c r="A7" s="24"/>
      <c r="B7" s="23"/>
      <c r="C7" s="23"/>
      <c r="D7" s="23"/>
      <c r="E7" s="23"/>
      <c r="F7" s="23"/>
      <c r="G7" s="23"/>
      <c r="H7" s="23"/>
      <c r="I7" s="22"/>
    </row>
    <row r="8" spans="1:9" ht="12.75">
      <c r="A8" s="24"/>
      <c r="B8" s="23"/>
      <c r="C8" s="23"/>
      <c r="D8" s="23"/>
      <c r="E8" s="23"/>
      <c r="F8" s="23"/>
      <c r="G8" s="23"/>
      <c r="I8" s="22"/>
    </row>
    <row r="9" spans="1:9" ht="12.75">
      <c r="A9" s="234" t="s">
        <v>150</v>
      </c>
      <c r="B9" s="234"/>
      <c r="C9" s="234"/>
      <c r="D9" s="234"/>
      <c r="E9" s="234"/>
      <c r="F9" s="234"/>
      <c r="G9" s="234"/>
      <c r="H9" s="234"/>
      <c r="I9" s="22"/>
    </row>
    <row r="10" ht="12.75">
      <c r="I10" s="22"/>
    </row>
    <row r="11" spans="1:9" ht="12.75">
      <c r="A11" s="235" t="s">
        <v>365</v>
      </c>
      <c r="B11" s="236"/>
      <c r="C11" s="236"/>
      <c r="D11" s="236"/>
      <c r="E11" s="236"/>
      <c r="F11" s="236"/>
      <c r="G11" s="236"/>
      <c r="H11" s="236"/>
      <c r="I11" s="22"/>
    </row>
    <row r="12" spans="1:9" ht="12.75">
      <c r="A12" s="26" t="s">
        <v>0</v>
      </c>
      <c r="B12" s="26" t="s">
        <v>0</v>
      </c>
      <c r="C12" s="26" t="s">
        <v>0</v>
      </c>
      <c r="D12" s="26" t="s">
        <v>0</v>
      </c>
      <c r="E12" s="26" t="s">
        <v>0</v>
      </c>
      <c r="F12" s="26" t="s">
        <v>0</v>
      </c>
      <c r="G12" s="26" t="s">
        <v>0</v>
      </c>
      <c r="H12" s="26" t="s">
        <v>0</v>
      </c>
      <c r="I12" s="27"/>
    </row>
    <row r="13" spans="1:9" ht="12.75">
      <c r="A13" s="37"/>
      <c r="B13" s="28"/>
      <c r="C13" s="237" t="s">
        <v>151</v>
      </c>
      <c r="D13" s="238"/>
      <c r="E13" s="72"/>
      <c r="F13" s="71"/>
      <c r="G13" s="52"/>
      <c r="H13" s="53"/>
      <c r="I13" s="27"/>
    </row>
    <row r="14" spans="1:9" ht="12.75">
      <c r="A14" s="38"/>
      <c r="B14" s="29" t="s">
        <v>154</v>
      </c>
      <c r="C14" s="231" t="s">
        <v>307</v>
      </c>
      <c r="D14" s="232"/>
      <c r="E14" s="30" t="s">
        <v>152</v>
      </c>
      <c r="F14" s="31" t="s">
        <v>153</v>
      </c>
      <c r="G14" s="54" t="s">
        <v>226</v>
      </c>
      <c r="H14" s="55"/>
      <c r="I14" s="27"/>
    </row>
    <row r="15" spans="1:9" ht="12.75">
      <c r="A15" s="38"/>
      <c r="B15" s="29" t="s">
        <v>157</v>
      </c>
      <c r="C15" s="31" t="s">
        <v>274</v>
      </c>
      <c r="D15" s="32" t="s">
        <v>129</v>
      </c>
      <c r="E15" s="30" t="s">
        <v>155</v>
      </c>
      <c r="F15" s="31" t="s">
        <v>156</v>
      </c>
      <c r="G15" s="54" t="s">
        <v>227</v>
      </c>
      <c r="H15" s="55"/>
      <c r="I15" s="27"/>
    </row>
    <row r="16" spans="1:9" ht="12.75">
      <c r="A16" s="38"/>
      <c r="B16" s="29" t="s">
        <v>161</v>
      </c>
      <c r="C16" s="32" t="s">
        <v>158</v>
      </c>
      <c r="D16" s="32" t="s">
        <v>158</v>
      </c>
      <c r="E16" s="30" t="s">
        <v>159</v>
      </c>
      <c r="F16" s="31" t="s">
        <v>160</v>
      </c>
      <c r="G16" s="56"/>
      <c r="H16" s="57"/>
      <c r="I16" s="27"/>
    </row>
    <row r="17" spans="1:9" ht="12.75">
      <c r="A17" s="39"/>
      <c r="B17" s="33"/>
      <c r="C17" s="32" t="s">
        <v>273</v>
      </c>
      <c r="D17" s="30" t="s">
        <v>273</v>
      </c>
      <c r="E17" s="58" t="s">
        <v>276</v>
      </c>
      <c r="F17" s="32" t="s">
        <v>155</v>
      </c>
      <c r="G17" s="23" t="s">
        <v>162</v>
      </c>
      <c r="H17" s="58" t="s">
        <v>163</v>
      </c>
      <c r="I17" s="27"/>
    </row>
    <row r="18" spans="1:9" ht="12.75">
      <c r="A18" s="40" t="s">
        <v>0</v>
      </c>
      <c r="B18" s="34" t="s">
        <v>0</v>
      </c>
      <c r="C18" s="70" t="s">
        <v>308</v>
      </c>
      <c r="D18" s="70" t="s">
        <v>366</v>
      </c>
      <c r="E18" s="35" t="s">
        <v>0</v>
      </c>
      <c r="F18" s="34" t="s">
        <v>0</v>
      </c>
      <c r="G18" s="77" t="s">
        <v>276</v>
      </c>
      <c r="H18" s="59" t="s">
        <v>164</v>
      </c>
      <c r="I18" s="27"/>
    </row>
    <row r="19" spans="1:9" ht="12.75">
      <c r="A19" s="25"/>
      <c r="B19" s="25"/>
      <c r="C19" s="36"/>
      <c r="D19" s="25"/>
      <c r="E19" s="25"/>
      <c r="F19" s="26" t="s">
        <v>0</v>
      </c>
      <c r="G19" s="25"/>
      <c r="H19" s="25"/>
      <c r="I19" s="27"/>
    </row>
    <row r="20" spans="1:9" ht="12.75">
      <c r="A20" s="51" t="s">
        <v>165</v>
      </c>
      <c r="B20" s="50" t="s">
        <v>118</v>
      </c>
      <c r="C20" s="62">
        <v>0.8653636796980058</v>
      </c>
      <c r="D20" s="62">
        <v>0.8653636796980058</v>
      </c>
      <c r="E20" s="177">
        <v>461.74982956475515</v>
      </c>
      <c r="F20" s="177">
        <v>317.34</v>
      </c>
      <c r="G20" s="177">
        <v>144.40982956475517</v>
      </c>
      <c r="H20" s="62">
        <v>31.2744738207864</v>
      </c>
      <c r="I20" s="27"/>
    </row>
    <row r="21" spans="1:9" ht="12.75">
      <c r="A21" s="42"/>
      <c r="B21" s="25"/>
      <c r="C21" s="60"/>
      <c r="D21" s="218"/>
      <c r="E21" s="178"/>
      <c r="F21" s="179"/>
      <c r="G21" s="179"/>
      <c r="H21" s="61"/>
      <c r="I21" s="27"/>
    </row>
    <row r="22" spans="1:9" ht="12.75">
      <c r="A22" s="51" t="s">
        <v>166</v>
      </c>
      <c r="B22" s="50" t="s">
        <v>1</v>
      </c>
      <c r="C22" s="62">
        <v>0.6772331186595704</v>
      </c>
      <c r="D22" s="219">
        <v>0.6772331186595704</v>
      </c>
      <c r="E22" s="181">
        <v>145.0058900365705</v>
      </c>
      <c r="F22" s="177">
        <v>70.35994359744579</v>
      </c>
      <c r="G22" s="177">
        <v>74.6459464391247</v>
      </c>
      <c r="H22" s="62">
        <v>16.165885000864186</v>
      </c>
      <c r="I22" s="27"/>
    </row>
    <row r="23" spans="1:9" ht="12.75">
      <c r="A23" s="43" t="s">
        <v>167</v>
      </c>
      <c r="B23" s="44" t="s">
        <v>168</v>
      </c>
      <c r="C23" s="61">
        <v>2.637178642216953</v>
      </c>
      <c r="D23" s="218">
        <v>2.637178642216953</v>
      </c>
      <c r="E23" s="178">
        <v>27.431868678440768</v>
      </c>
      <c r="F23" s="179">
        <v>21.832498982427033</v>
      </c>
      <c r="G23" s="179">
        <v>5.599369696013737</v>
      </c>
      <c r="H23" s="61">
        <v>1.212641421284702</v>
      </c>
      <c r="I23" s="27"/>
    </row>
    <row r="24" spans="1:9" ht="12.75">
      <c r="A24" s="43" t="s">
        <v>169</v>
      </c>
      <c r="B24" s="45" t="s">
        <v>170</v>
      </c>
      <c r="C24" s="61">
        <v>1.117863400168484</v>
      </c>
      <c r="D24" s="218">
        <v>1.117863400168484</v>
      </c>
      <c r="E24" s="178">
        <v>23.778716556667305</v>
      </c>
      <c r="F24" s="179">
        <v>9.250786363970375</v>
      </c>
      <c r="G24" s="179">
        <v>14.52793019269693</v>
      </c>
      <c r="H24" s="61">
        <v>3.1462773264888786</v>
      </c>
      <c r="I24" s="27"/>
    </row>
    <row r="25" spans="1:9" ht="12.75">
      <c r="A25" s="43" t="s">
        <v>171</v>
      </c>
      <c r="B25" s="45" t="s">
        <v>172</v>
      </c>
      <c r="C25" s="61">
        <v>-4.236182687063483</v>
      </c>
      <c r="D25" s="218">
        <v>-4.236182687063483</v>
      </c>
      <c r="E25" s="178">
        <v>6.460226658321788</v>
      </c>
      <c r="F25" s="179">
        <v>0</v>
      </c>
      <c r="G25" s="179">
        <v>6.460226658321788</v>
      </c>
      <c r="H25" s="61">
        <v>1.399075049883871</v>
      </c>
      <c r="I25" s="27"/>
    </row>
    <row r="26" spans="1:9" ht="12.75">
      <c r="A26" s="43" t="s">
        <v>173</v>
      </c>
      <c r="B26" s="45" t="s">
        <v>174</v>
      </c>
      <c r="C26" s="61">
        <v>1.1384461961027714</v>
      </c>
      <c r="D26" s="218">
        <v>1.1384461961027714</v>
      </c>
      <c r="E26" s="178">
        <v>5.049270477519768</v>
      </c>
      <c r="F26" s="179">
        <v>0</v>
      </c>
      <c r="G26" s="179">
        <v>5.049270477519768</v>
      </c>
      <c r="H26" s="61">
        <v>1.0935078161867875</v>
      </c>
      <c r="I26" s="27"/>
    </row>
    <row r="27" spans="1:9" ht="12.75">
      <c r="A27" s="43" t="s">
        <v>175</v>
      </c>
      <c r="B27" s="45" t="s">
        <v>176</v>
      </c>
      <c r="C27" s="61">
        <v>1.1777672338464384</v>
      </c>
      <c r="D27" s="218">
        <v>1.1777672338464384</v>
      </c>
      <c r="E27" s="178">
        <v>22.97042055859289</v>
      </c>
      <c r="F27" s="179">
        <v>16.718347303176497</v>
      </c>
      <c r="G27" s="179">
        <v>6.252073255416391</v>
      </c>
      <c r="H27" s="61">
        <v>1.3539957906015012</v>
      </c>
      <c r="I27" s="27"/>
    </row>
    <row r="28" spans="1:9" ht="12.75">
      <c r="A28" s="43" t="s">
        <v>177</v>
      </c>
      <c r="B28" s="45" t="s">
        <v>178</v>
      </c>
      <c r="C28" s="61">
        <v>0.5368401577669824</v>
      </c>
      <c r="D28" s="218">
        <v>0.5368401577669824</v>
      </c>
      <c r="E28" s="178">
        <v>11.544520584823108</v>
      </c>
      <c r="F28" s="179">
        <v>0</v>
      </c>
      <c r="G28" s="179">
        <v>11.544520584823108</v>
      </c>
      <c r="H28" s="61">
        <v>2.5001678063866226</v>
      </c>
      <c r="I28" s="27"/>
    </row>
    <row r="29" spans="1:9" ht="12.75">
      <c r="A29" s="43" t="s">
        <v>179</v>
      </c>
      <c r="B29" s="45" t="s">
        <v>180</v>
      </c>
      <c r="C29" s="61">
        <v>-2.0557585754693353</v>
      </c>
      <c r="D29" s="218">
        <v>-2.0557585754693353</v>
      </c>
      <c r="E29" s="178">
        <v>9.153094244730681</v>
      </c>
      <c r="F29" s="179">
        <v>7.185476339429028</v>
      </c>
      <c r="G29" s="179">
        <v>1.9676179053016531</v>
      </c>
      <c r="H29" s="61">
        <v>0.42612206422606097</v>
      </c>
      <c r="I29" s="27"/>
    </row>
    <row r="30" spans="1:9" ht="12.75">
      <c r="A30" s="43" t="s">
        <v>181</v>
      </c>
      <c r="B30" s="45" t="s">
        <v>182</v>
      </c>
      <c r="C30" s="61">
        <v>-1.2551354487097321</v>
      </c>
      <c r="D30" s="218">
        <v>-1.2551354487097321</v>
      </c>
      <c r="E30" s="178">
        <v>2.9740040898855122</v>
      </c>
      <c r="F30" s="179">
        <v>0</v>
      </c>
      <c r="G30" s="179">
        <v>2.9740040898855122</v>
      </c>
      <c r="H30" s="61">
        <v>0.6440725907119024</v>
      </c>
      <c r="I30" s="27"/>
    </row>
    <row r="31" spans="1:9" ht="12.75">
      <c r="A31" s="43" t="s">
        <v>183</v>
      </c>
      <c r="B31" s="45" t="s">
        <v>184</v>
      </c>
      <c r="C31" s="61">
        <v>1.5192556551905545</v>
      </c>
      <c r="D31" s="218">
        <v>1.5192556551905545</v>
      </c>
      <c r="E31" s="178">
        <v>7.338556158811411</v>
      </c>
      <c r="F31" s="179">
        <v>0</v>
      </c>
      <c r="G31" s="179">
        <v>7.338556158811411</v>
      </c>
      <c r="H31" s="61">
        <v>1.5892926621605308</v>
      </c>
      <c r="I31" s="27"/>
    </row>
    <row r="32" spans="1:9" ht="12.75">
      <c r="A32" s="43" t="s">
        <v>185</v>
      </c>
      <c r="B32" s="45" t="s">
        <v>186</v>
      </c>
      <c r="C32" s="61">
        <v>0.05227789613830858</v>
      </c>
      <c r="D32" s="218">
        <v>0.05227789613830858</v>
      </c>
      <c r="E32" s="178">
        <v>7.1509669379885334</v>
      </c>
      <c r="F32" s="179">
        <v>5.2939889794134665</v>
      </c>
      <c r="G32" s="179">
        <v>1.8569779585750665</v>
      </c>
      <c r="H32" s="61">
        <v>0.40216104905235195</v>
      </c>
      <c r="I32" s="27"/>
    </row>
    <row r="33" spans="1:9" ht="12.75">
      <c r="A33" s="43" t="s">
        <v>187</v>
      </c>
      <c r="B33" s="45" t="s">
        <v>225</v>
      </c>
      <c r="C33" s="61">
        <v>-0.029592904409458942</v>
      </c>
      <c r="D33" s="218">
        <v>-0.029592904409458942</v>
      </c>
      <c r="E33" s="178">
        <v>5.585198029999975</v>
      </c>
      <c r="F33" s="179">
        <v>0</v>
      </c>
      <c r="G33" s="179">
        <v>5.585198029999975</v>
      </c>
      <c r="H33" s="61">
        <v>1.2095722991959903</v>
      </c>
      <c r="I33" s="27"/>
    </row>
    <row r="34" spans="1:9" ht="12.75">
      <c r="A34" s="43" t="s">
        <v>188</v>
      </c>
      <c r="B34" s="45" t="s">
        <v>189</v>
      </c>
      <c r="C34" s="61">
        <v>2.574065349833332</v>
      </c>
      <c r="D34" s="218">
        <v>2.574065349833332</v>
      </c>
      <c r="E34" s="178">
        <v>1.0210047292600424</v>
      </c>
      <c r="F34" s="179">
        <v>0</v>
      </c>
      <c r="G34" s="179">
        <v>1.0210047292600424</v>
      </c>
      <c r="H34" s="61">
        <v>0.2211164279632632</v>
      </c>
      <c r="I34" s="27"/>
    </row>
    <row r="35" spans="1:9" ht="24">
      <c r="A35" s="43" t="s">
        <v>190</v>
      </c>
      <c r="B35" s="46" t="s">
        <v>191</v>
      </c>
      <c r="C35" s="61">
        <v>0</v>
      </c>
      <c r="D35" s="218">
        <v>0</v>
      </c>
      <c r="E35" s="178">
        <v>14.548042331528713</v>
      </c>
      <c r="F35" s="179">
        <v>10.07884562902939</v>
      </c>
      <c r="G35" s="179">
        <v>4.469196702499323</v>
      </c>
      <c r="H35" s="61">
        <v>0.9678826967217254</v>
      </c>
      <c r="I35" s="27"/>
    </row>
    <row r="36" spans="1:9" ht="12.75">
      <c r="A36" s="47"/>
      <c r="B36" s="48"/>
      <c r="C36" s="61"/>
      <c r="D36" s="218"/>
      <c r="E36" s="178"/>
      <c r="F36" s="179"/>
      <c r="G36" s="179"/>
      <c r="H36" s="61"/>
      <c r="I36" s="27"/>
    </row>
    <row r="37" spans="1:9" ht="12.75">
      <c r="A37" s="51" t="s">
        <v>192</v>
      </c>
      <c r="B37" s="50" t="s">
        <v>42</v>
      </c>
      <c r="C37" s="62">
        <v>0.5297853670944264</v>
      </c>
      <c r="D37" s="219">
        <v>0.5297853670944264</v>
      </c>
      <c r="E37" s="181">
        <v>139.72528738309214</v>
      </c>
      <c r="F37" s="177">
        <v>135.75968427727082</v>
      </c>
      <c r="G37" s="177">
        <v>3.965603105821326</v>
      </c>
      <c r="H37" s="62">
        <v>0.8588206972505652</v>
      </c>
      <c r="I37" s="27"/>
    </row>
    <row r="38" spans="1:9" ht="12.75">
      <c r="A38" s="43" t="s">
        <v>193</v>
      </c>
      <c r="B38" s="45" t="s">
        <v>194</v>
      </c>
      <c r="C38" s="61">
        <v>0.6651412529838696</v>
      </c>
      <c r="D38" s="218">
        <v>0.6651412529838696</v>
      </c>
      <c r="E38" s="178">
        <v>108.01075978255282</v>
      </c>
      <c r="F38" s="179">
        <v>108.01075978255282</v>
      </c>
      <c r="G38" s="180" t="s">
        <v>137</v>
      </c>
      <c r="H38" s="180" t="s">
        <v>137</v>
      </c>
      <c r="I38" s="27"/>
    </row>
    <row r="39" spans="1:9" ht="12.75">
      <c r="A39" s="43" t="s">
        <v>195</v>
      </c>
      <c r="B39" s="45" t="s">
        <v>196</v>
      </c>
      <c r="C39" s="61">
        <v>-0.0023198042272798425</v>
      </c>
      <c r="D39" s="218">
        <v>-0.0023198042272798425</v>
      </c>
      <c r="E39" s="178">
        <v>19.707393343031004</v>
      </c>
      <c r="F39" s="179">
        <v>19.707393343031004</v>
      </c>
      <c r="G39" s="180" t="s">
        <v>137</v>
      </c>
      <c r="H39" s="180" t="s">
        <v>137</v>
      </c>
      <c r="I39" s="27"/>
    </row>
    <row r="40" spans="1:9" ht="12.75">
      <c r="A40" s="43" t="s">
        <v>197</v>
      </c>
      <c r="B40" s="45" t="s">
        <v>198</v>
      </c>
      <c r="C40" s="61">
        <v>0.1070941023484373</v>
      </c>
      <c r="D40" s="218">
        <v>0.1070941023484373</v>
      </c>
      <c r="E40" s="178">
        <v>11.08437203351061</v>
      </c>
      <c r="F40" s="179">
        <v>8.041531151686964</v>
      </c>
      <c r="G40" s="179">
        <v>3.0428408818236443</v>
      </c>
      <c r="H40" s="61">
        <v>0.6589804017235529</v>
      </c>
      <c r="I40" s="27"/>
    </row>
    <row r="41" spans="1:9" ht="12.75">
      <c r="A41" s="43" t="s">
        <v>199</v>
      </c>
      <c r="B41" s="45" t="s">
        <v>200</v>
      </c>
      <c r="C41" s="61">
        <v>1.2358901380077336</v>
      </c>
      <c r="D41" s="218">
        <v>1.2358901380077336</v>
      </c>
      <c r="E41" s="178">
        <v>0.9227622239976819</v>
      </c>
      <c r="F41" s="179">
        <v>0</v>
      </c>
      <c r="G41" s="179">
        <v>0.9227622239976819</v>
      </c>
      <c r="H41" s="61">
        <v>0.19984029552701224</v>
      </c>
      <c r="I41" s="27"/>
    </row>
    <row r="42" spans="1:9" ht="12.75">
      <c r="A42" s="47"/>
      <c r="B42" s="48"/>
      <c r="C42" s="61"/>
      <c r="D42" s="218"/>
      <c r="E42" s="178"/>
      <c r="F42" s="179"/>
      <c r="G42" s="179"/>
      <c r="H42" s="61"/>
      <c r="I42" s="27"/>
    </row>
    <row r="43" spans="1:9" ht="12.75">
      <c r="A43" s="51" t="s">
        <v>201</v>
      </c>
      <c r="B43" s="50" t="s">
        <v>52</v>
      </c>
      <c r="C43" s="62">
        <v>-0.7397694384506104</v>
      </c>
      <c r="D43" s="219">
        <v>-0.7397694384506104</v>
      </c>
      <c r="E43" s="181">
        <v>26.139047594186714</v>
      </c>
      <c r="F43" s="177">
        <v>0</v>
      </c>
      <c r="G43" s="177">
        <v>26.139047594186714</v>
      </c>
      <c r="H43" s="62">
        <v>5.660867838072696</v>
      </c>
      <c r="I43" s="27"/>
    </row>
    <row r="44" spans="1:9" ht="12.75">
      <c r="A44" s="43" t="s">
        <v>202</v>
      </c>
      <c r="B44" s="45" t="s">
        <v>255</v>
      </c>
      <c r="C44" s="61">
        <v>-0.0052975117432074725</v>
      </c>
      <c r="D44" s="218">
        <v>-0.0052975117432074725</v>
      </c>
      <c r="E44" s="178">
        <v>1.7994903381744944</v>
      </c>
      <c r="F44" s="179">
        <v>0</v>
      </c>
      <c r="G44" s="179">
        <v>1.7994903381744944</v>
      </c>
      <c r="H44" s="61">
        <v>0.38971109959492395</v>
      </c>
      <c r="I44" s="27"/>
    </row>
    <row r="45" spans="1:9" ht="12.75">
      <c r="A45" s="43" t="s">
        <v>203</v>
      </c>
      <c r="B45" s="45" t="s">
        <v>204</v>
      </c>
      <c r="C45" s="61">
        <v>-0.3646070243387811</v>
      </c>
      <c r="D45" s="218">
        <v>-0.3646070243387811</v>
      </c>
      <c r="E45" s="178">
        <v>12.919765350153414</v>
      </c>
      <c r="F45" s="179">
        <v>0</v>
      </c>
      <c r="G45" s="179">
        <v>12.919765350153414</v>
      </c>
      <c r="H45" s="61">
        <v>2.7980011085941427</v>
      </c>
      <c r="I45" s="27"/>
    </row>
    <row r="46" spans="1:9" ht="12.75">
      <c r="A46" s="43" t="s">
        <v>205</v>
      </c>
      <c r="B46" s="45" t="s">
        <v>206</v>
      </c>
      <c r="C46" s="61">
        <v>-1.4575184764822113</v>
      </c>
      <c r="D46" s="218">
        <v>-1.4575184764822113</v>
      </c>
      <c r="E46" s="178">
        <v>9.695043465048656</v>
      </c>
      <c r="F46" s="179">
        <v>0</v>
      </c>
      <c r="G46" s="179">
        <v>9.695043465048656</v>
      </c>
      <c r="H46" s="61">
        <v>2.099631195140276</v>
      </c>
      <c r="I46" s="27"/>
    </row>
    <row r="47" spans="1:9" ht="12.75">
      <c r="A47" s="43" t="s">
        <v>207</v>
      </c>
      <c r="B47" s="45" t="s">
        <v>208</v>
      </c>
      <c r="C47" s="61">
        <v>-0.23361195903331966</v>
      </c>
      <c r="D47" s="218">
        <v>-0.23361195903331966</v>
      </c>
      <c r="E47" s="178">
        <v>1.7247484408101492</v>
      </c>
      <c r="F47" s="179">
        <v>0</v>
      </c>
      <c r="G47" s="179">
        <v>1.7247484408101492</v>
      </c>
      <c r="H47" s="61">
        <v>0.3735244347433534</v>
      </c>
      <c r="I47" s="27"/>
    </row>
    <row r="48" spans="1:9" ht="12.75">
      <c r="A48" s="47"/>
      <c r="B48" s="48"/>
      <c r="C48" s="61"/>
      <c r="D48" s="218"/>
      <c r="E48" s="178"/>
      <c r="F48" s="179"/>
      <c r="G48" s="179"/>
      <c r="H48" s="61"/>
      <c r="I48" s="27"/>
    </row>
    <row r="49" spans="1:9" ht="12.75">
      <c r="A49" s="51" t="s">
        <v>209</v>
      </c>
      <c r="B49" s="50" t="s">
        <v>64</v>
      </c>
      <c r="C49" s="62">
        <v>1.6469012843981945</v>
      </c>
      <c r="D49" s="219">
        <v>1.6469012843981945</v>
      </c>
      <c r="E49" s="181">
        <v>150.87960455090584</v>
      </c>
      <c r="F49" s="177">
        <v>111.2203721252834</v>
      </c>
      <c r="G49" s="177">
        <v>39.65923242562243</v>
      </c>
      <c r="H49" s="62">
        <v>8.588900284598951</v>
      </c>
      <c r="I49" s="27"/>
    </row>
    <row r="50" spans="1:9" ht="12.75">
      <c r="A50" s="43" t="s">
        <v>210</v>
      </c>
      <c r="B50" s="45" t="s">
        <v>211</v>
      </c>
      <c r="C50" s="61">
        <v>2.7619987771161814</v>
      </c>
      <c r="D50" s="218">
        <v>2.7619987771161814</v>
      </c>
      <c r="E50" s="178">
        <v>79.07287919551035</v>
      </c>
      <c r="F50" s="179">
        <v>70.00996836361087</v>
      </c>
      <c r="G50" s="179">
        <v>9.062910831899483</v>
      </c>
      <c r="H50" s="61">
        <v>1.9627318196180328</v>
      </c>
      <c r="I50" s="27"/>
    </row>
    <row r="51" spans="1:9" ht="12.75">
      <c r="A51" s="43" t="s">
        <v>212</v>
      </c>
      <c r="B51" s="45" t="s">
        <v>213</v>
      </c>
      <c r="C51" s="61">
        <v>0.6070915788350062</v>
      </c>
      <c r="D51" s="218">
        <v>0.6070915788350062</v>
      </c>
      <c r="E51" s="178">
        <v>9.225626308497242</v>
      </c>
      <c r="F51" s="179">
        <v>0</v>
      </c>
      <c r="G51" s="179">
        <v>9.225626308497242</v>
      </c>
      <c r="H51" s="61">
        <v>1.9979707014062802</v>
      </c>
      <c r="I51" s="27"/>
    </row>
    <row r="52" spans="1:9" ht="12.75">
      <c r="A52" s="43" t="s">
        <v>214</v>
      </c>
      <c r="B52" s="45" t="s">
        <v>215</v>
      </c>
      <c r="C52" s="61">
        <v>1.6342043436045284</v>
      </c>
      <c r="D52" s="218">
        <v>1.6342043436045284</v>
      </c>
      <c r="E52" s="178">
        <v>16.394824017644805</v>
      </c>
      <c r="F52" s="179">
        <v>3.3040326494354275</v>
      </c>
      <c r="G52" s="179">
        <v>13.090791368209377</v>
      </c>
      <c r="H52" s="61">
        <v>2.835039783457796</v>
      </c>
      <c r="I52" s="27"/>
    </row>
    <row r="53" spans="1:9" ht="12.75">
      <c r="A53" s="43" t="s">
        <v>216</v>
      </c>
      <c r="B53" s="45" t="s">
        <v>217</v>
      </c>
      <c r="C53" s="61">
        <v>0</v>
      </c>
      <c r="D53" s="218">
        <v>0</v>
      </c>
      <c r="E53" s="178">
        <v>8.94092719271899</v>
      </c>
      <c r="F53" s="179">
        <v>5.751810766218165</v>
      </c>
      <c r="G53" s="179">
        <v>3.1891164265008247</v>
      </c>
      <c r="H53" s="61">
        <v>0.6906589287768405</v>
      </c>
      <c r="I53" s="27"/>
    </row>
    <row r="54" spans="1:9" ht="12.75">
      <c r="A54" s="220" t="s">
        <v>218</v>
      </c>
      <c r="B54" s="221" t="s">
        <v>219</v>
      </c>
      <c r="C54" s="222">
        <v>0</v>
      </c>
      <c r="D54" s="223">
        <v>0</v>
      </c>
      <c r="E54" s="224">
        <v>11.075378600845236</v>
      </c>
      <c r="F54" s="225">
        <v>5.98459111032974</v>
      </c>
      <c r="G54" s="225">
        <v>5.0907874905154955</v>
      </c>
      <c r="H54" s="222">
        <v>1.1024990513400006</v>
      </c>
      <c r="I54" s="27"/>
    </row>
    <row r="55" spans="1:9" ht="12.75">
      <c r="A55" s="220" t="s">
        <v>220</v>
      </c>
      <c r="B55" s="221" t="s">
        <v>221</v>
      </c>
      <c r="C55" s="222">
        <v>0</v>
      </c>
      <c r="D55" s="223">
        <v>0</v>
      </c>
      <c r="E55" s="224">
        <v>26.169969235689216</v>
      </c>
      <c r="F55" s="225">
        <v>0</v>
      </c>
      <c r="G55" s="180" t="s">
        <v>137</v>
      </c>
      <c r="H55" s="180" t="s">
        <v>137</v>
      </c>
      <c r="I55" s="27"/>
    </row>
    <row r="56" spans="1:9" ht="12.75">
      <c r="A56" s="41"/>
      <c r="B56" s="41"/>
      <c r="C56" s="41"/>
      <c r="D56" s="41"/>
      <c r="E56" s="41"/>
      <c r="F56" s="41"/>
      <c r="G56" s="41"/>
      <c r="H56" s="41"/>
      <c r="I56" s="27"/>
    </row>
    <row r="57" ht="12.75">
      <c r="I57" s="27"/>
    </row>
    <row r="58" spans="1:9" ht="12.75">
      <c r="A58" s="64" t="s">
        <v>222</v>
      </c>
      <c r="B58" s="17"/>
      <c r="C58" s="20"/>
      <c r="D58" s="20"/>
      <c r="E58" s="21"/>
      <c r="F58" s="20"/>
      <c r="G58" s="20"/>
      <c r="H58" s="20"/>
      <c r="I58" s="27"/>
    </row>
    <row r="59" spans="1:9" ht="12.75">
      <c r="A59" s="65" t="s">
        <v>249</v>
      </c>
      <c r="B59" s="17"/>
      <c r="C59" s="17"/>
      <c r="D59" s="17"/>
      <c r="E59" s="17"/>
      <c r="F59" s="17"/>
      <c r="G59" s="17"/>
      <c r="H59" s="66"/>
      <c r="I59" s="27"/>
    </row>
    <row r="60" spans="1:9" ht="12.75">
      <c r="A60" s="17"/>
      <c r="B60" s="17"/>
      <c r="C60" s="67"/>
      <c r="D60" s="67"/>
      <c r="E60" s="67"/>
      <c r="F60" s="17"/>
      <c r="G60" s="17"/>
      <c r="H60" s="17"/>
      <c r="I60" s="27"/>
    </row>
    <row r="61" ht="12.75">
      <c r="I61" s="27"/>
    </row>
    <row r="62" spans="1:9" ht="12.75">
      <c r="A62" s="27"/>
      <c r="B62" s="27"/>
      <c r="C62" s="27"/>
      <c r="D62" s="27"/>
      <c r="E62" s="27"/>
      <c r="F62" s="27"/>
      <c r="G62" s="27"/>
      <c r="H62" s="27"/>
      <c r="I62" s="27"/>
    </row>
    <row r="63" spans="1:9" ht="12.75">
      <c r="A63" s="27"/>
      <c r="B63" s="27"/>
      <c r="C63" s="27"/>
      <c r="D63" s="27"/>
      <c r="E63" s="27"/>
      <c r="F63" s="27"/>
      <c r="G63" s="27"/>
      <c r="H63" s="27"/>
      <c r="I63" s="27"/>
    </row>
    <row r="64" spans="1:9" ht="12.75">
      <c r="A64" s="27"/>
      <c r="B64" s="27"/>
      <c r="C64" s="27"/>
      <c r="D64" s="27"/>
      <c r="E64" s="27"/>
      <c r="F64" s="27"/>
      <c r="G64" s="27"/>
      <c r="H64" s="27"/>
      <c r="I64" s="27"/>
    </row>
  </sheetData>
  <sheetProtection/>
  <mergeCells count="7">
    <mergeCell ref="C14:D14"/>
    <mergeCell ref="A1:H1"/>
    <mergeCell ref="A9:H9"/>
    <mergeCell ref="A11:H11"/>
    <mergeCell ref="C13:D13"/>
    <mergeCell ref="A3:H3"/>
    <mergeCell ref="A4:H4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A70">
      <selection activeCell="H22" sqref="H22"/>
    </sheetView>
  </sheetViews>
  <sheetFormatPr defaultColWidth="11.421875" defaultRowHeight="12.75"/>
  <cols>
    <col min="1" max="1" width="8.00390625" style="0" customWidth="1"/>
    <col min="2" max="2" width="11.28125" style="0" customWidth="1"/>
    <col min="3" max="3" width="9.8515625" style="0" customWidth="1"/>
    <col min="4" max="4" width="9.421875" style="0" customWidth="1"/>
    <col min="5" max="10" width="10.57421875" style="0" bestFit="1" customWidth="1"/>
    <col min="11" max="11" width="8.8515625" style="0" customWidth="1"/>
    <col min="12" max="13" width="10.57421875" style="0" bestFit="1" customWidth="1"/>
    <col min="14" max="14" width="8.7109375" style="0" customWidth="1"/>
  </cols>
  <sheetData>
    <row r="2" spans="2:13" ht="12.75">
      <c r="B2" s="199"/>
      <c r="C2" s="249" t="s">
        <v>356</v>
      </c>
      <c r="D2" s="249"/>
      <c r="E2" s="249"/>
      <c r="F2" s="249"/>
      <c r="G2" s="249"/>
      <c r="H2" s="249"/>
      <c r="I2" s="249"/>
      <c r="J2" s="249"/>
      <c r="K2" s="249"/>
      <c r="L2" s="249"/>
      <c r="M2" s="198"/>
    </row>
    <row r="3" spans="2:13" ht="12.75">
      <c r="B3" s="41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41"/>
    </row>
    <row r="4" spans="1:13" ht="12.75">
      <c r="A4" s="186" t="s">
        <v>309</v>
      </c>
      <c r="B4" s="200" t="s">
        <v>311</v>
      </c>
      <c r="C4" s="200" t="s">
        <v>312</v>
      </c>
      <c r="D4" s="200" t="s">
        <v>313</v>
      </c>
      <c r="E4" s="200" t="s">
        <v>314</v>
      </c>
      <c r="F4" s="200" t="s">
        <v>315</v>
      </c>
      <c r="G4" s="200" t="s">
        <v>316</v>
      </c>
      <c r="H4" s="200" t="s">
        <v>317</v>
      </c>
      <c r="I4" s="200" t="s">
        <v>318</v>
      </c>
      <c r="J4" s="200" t="s">
        <v>320</v>
      </c>
      <c r="K4" s="200" t="s">
        <v>319</v>
      </c>
      <c r="L4" s="200" t="s">
        <v>321</v>
      </c>
      <c r="M4" s="200" t="s">
        <v>322</v>
      </c>
    </row>
    <row r="5" spans="1:13" ht="12.75">
      <c r="A5" s="20" t="s">
        <v>310</v>
      </c>
      <c r="B5" s="187"/>
      <c r="C5" s="187"/>
      <c r="D5" s="187"/>
      <c r="E5" s="187"/>
      <c r="F5" s="187"/>
      <c r="J5" s="187"/>
      <c r="K5" s="187"/>
      <c r="L5" s="187"/>
      <c r="M5" s="187"/>
    </row>
    <row r="6" spans="1:13" ht="12.75">
      <c r="A6">
        <v>1982</v>
      </c>
      <c r="B6" s="209"/>
      <c r="C6" s="209"/>
      <c r="D6" s="209"/>
      <c r="E6" s="209"/>
      <c r="F6" s="209"/>
      <c r="G6" s="192"/>
      <c r="H6" s="192"/>
      <c r="I6" s="192"/>
      <c r="J6" s="209"/>
      <c r="K6" s="209"/>
      <c r="L6" s="201">
        <v>10.758</v>
      </c>
      <c r="M6" s="201"/>
    </row>
    <row r="7" spans="1:13" ht="12.75">
      <c r="A7">
        <v>1983</v>
      </c>
      <c r="B7" s="201"/>
      <c r="C7" s="201"/>
      <c r="D7" s="201"/>
      <c r="E7" s="201"/>
      <c r="F7" s="201"/>
      <c r="G7" s="202"/>
      <c r="H7" s="202">
        <v>15.965</v>
      </c>
      <c r="I7" s="202"/>
      <c r="J7" s="201"/>
      <c r="K7" s="201"/>
      <c r="L7" s="201"/>
      <c r="M7" s="201"/>
    </row>
    <row r="8" spans="1:13" ht="12.75">
      <c r="A8">
        <v>1984</v>
      </c>
      <c r="B8" s="201">
        <v>17.757</v>
      </c>
      <c r="C8" s="201"/>
      <c r="D8" s="201">
        <v>22.932</v>
      </c>
      <c r="E8" s="201"/>
      <c r="F8" s="201"/>
      <c r="G8" s="202"/>
      <c r="H8" s="202"/>
      <c r="I8" s="202"/>
      <c r="J8" s="201"/>
      <c r="K8" s="201"/>
      <c r="L8" s="201"/>
      <c r="M8" s="201"/>
    </row>
    <row r="9" spans="1:13" ht="12.75">
      <c r="A9">
        <v>1985</v>
      </c>
      <c r="B9" s="201"/>
      <c r="C9" s="201"/>
      <c r="D9" s="201"/>
      <c r="E9" s="201"/>
      <c r="F9" s="201"/>
      <c r="G9" s="202"/>
      <c r="H9" s="202"/>
      <c r="I9" s="202"/>
      <c r="J9" s="201"/>
      <c r="K9" s="201"/>
      <c r="L9" s="201"/>
      <c r="M9" s="201"/>
    </row>
    <row r="10" spans="1:13" ht="12.75">
      <c r="A10">
        <v>1986</v>
      </c>
      <c r="B10" s="201">
        <v>26.616</v>
      </c>
      <c r="C10" s="201"/>
      <c r="D10" s="201"/>
      <c r="E10" s="201"/>
      <c r="F10" s="201"/>
      <c r="G10" s="202"/>
      <c r="H10" s="202"/>
      <c r="I10" s="201">
        <v>29.64</v>
      </c>
      <c r="J10" s="201"/>
      <c r="K10" s="201"/>
      <c r="L10" s="201"/>
      <c r="M10" s="201"/>
    </row>
    <row r="11" spans="1:13" ht="12.75">
      <c r="A11">
        <v>1987</v>
      </c>
      <c r="B11" s="201"/>
      <c r="C11" s="201"/>
      <c r="D11" s="201"/>
      <c r="E11" s="201"/>
      <c r="F11" s="201"/>
      <c r="G11" s="202"/>
      <c r="H11" s="201">
        <v>37.667</v>
      </c>
      <c r="I11" s="201"/>
      <c r="J11" s="201"/>
      <c r="K11" s="201"/>
      <c r="L11" s="201"/>
      <c r="M11" s="201"/>
    </row>
    <row r="12" spans="1:13" ht="12.75">
      <c r="A12">
        <v>1988</v>
      </c>
      <c r="B12" s="201"/>
      <c r="C12" s="201"/>
      <c r="D12" s="201"/>
      <c r="E12" s="201"/>
      <c r="F12" s="201"/>
      <c r="G12" s="202">
        <v>59.354</v>
      </c>
      <c r="H12" s="201"/>
      <c r="I12" s="201"/>
      <c r="J12" s="201">
        <v>70.169</v>
      </c>
      <c r="K12" s="201"/>
      <c r="L12" s="201"/>
      <c r="M12" s="201"/>
    </row>
    <row r="13" spans="1:13" ht="12.75">
      <c r="A13">
        <v>1989</v>
      </c>
      <c r="B13" s="201"/>
      <c r="C13" s="201"/>
      <c r="D13" s="201"/>
      <c r="E13" s="201"/>
      <c r="F13" s="201">
        <v>104.177</v>
      </c>
      <c r="G13" s="202"/>
      <c r="H13" s="201"/>
      <c r="I13" s="201"/>
      <c r="J13" s="201"/>
      <c r="K13" s="201"/>
      <c r="L13" s="201">
        <v>124.785</v>
      </c>
      <c r="M13" s="201"/>
    </row>
    <row r="14" spans="1:13" ht="12.75">
      <c r="A14">
        <v>1990</v>
      </c>
      <c r="B14" s="201"/>
      <c r="C14" s="201"/>
      <c r="D14" s="201"/>
      <c r="E14" s="201"/>
      <c r="F14" s="201"/>
      <c r="G14" s="202"/>
      <c r="H14" s="201"/>
      <c r="I14" s="201"/>
      <c r="J14" s="201"/>
      <c r="K14" s="201">
        <v>173.107</v>
      </c>
      <c r="L14" s="201">
        <v>179.071</v>
      </c>
      <c r="M14" s="201">
        <v>183.773</v>
      </c>
    </row>
    <row r="15" spans="1:13" ht="12.75">
      <c r="A15">
        <v>1991</v>
      </c>
      <c r="B15" s="201">
        <v>193.596</v>
      </c>
      <c r="C15" s="201">
        <v>201.455</v>
      </c>
      <c r="D15" s="201">
        <v>208.823</v>
      </c>
      <c r="E15" s="201">
        <v>214.928</v>
      </c>
      <c r="F15" s="201">
        <v>223.769</v>
      </c>
      <c r="G15" s="202">
        <v>230.786</v>
      </c>
      <c r="H15" s="201">
        <v>236.399</v>
      </c>
      <c r="I15" s="201">
        <v>242.223</v>
      </c>
      <c r="J15" s="201">
        <v>251.135</v>
      </c>
      <c r="K15" s="201">
        <v>258.362</v>
      </c>
      <c r="L15" s="201">
        <v>264.467</v>
      </c>
      <c r="M15" s="201">
        <v>276.536</v>
      </c>
    </row>
    <row r="16" spans="1:13" ht="12.75">
      <c r="A16">
        <v>1992</v>
      </c>
      <c r="B16" s="201">
        <v>289.868</v>
      </c>
      <c r="C16" s="201">
        <v>300.113</v>
      </c>
      <c r="D16" s="201">
        <v>309.586</v>
      </c>
      <c r="E16" s="201">
        <v>325.865</v>
      </c>
      <c r="F16" s="201">
        <v>338.425</v>
      </c>
      <c r="G16" s="202">
        <v>350.915</v>
      </c>
      <c r="H16" s="201">
        <v>362.212</v>
      </c>
      <c r="I16" s="201">
        <v>378.842</v>
      </c>
      <c r="J16" s="201"/>
      <c r="K16" s="201"/>
      <c r="L16" s="201"/>
      <c r="M16" s="201"/>
    </row>
    <row r="17" spans="1:13" ht="12.75">
      <c r="A17">
        <v>1993</v>
      </c>
      <c r="B17" s="201"/>
      <c r="C17" s="201"/>
      <c r="D17" s="201"/>
      <c r="E17" s="201"/>
      <c r="F17" s="201"/>
      <c r="G17" s="202">
        <v>557.58</v>
      </c>
      <c r="H17" s="201">
        <v>566.808</v>
      </c>
      <c r="I17" s="201">
        <v>575.597</v>
      </c>
      <c r="J17" s="201">
        <v>588.754</v>
      </c>
      <c r="K17" s="201">
        <v>603.732</v>
      </c>
      <c r="L17" s="201">
        <v>613.14</v>
      </c>
      <c r="M17" s="201">
        <v>617.923</v>
      </c>
    </row>
    <row r="18" spans="1:13" ht="12.75">
      <c r="A18">
        <v>1994</v>
      </c>
      <c r="B18" s="201">
        <v>657.9</v>
      </c>
      <c r="C18" s="201">
        <v>679.466</v>
      </c>
      <c r="D18" s="201">
        <v>701.925</v>
      </c>
      <c r="E18" s="201">
        <v>719.981</v>
      </c>
      <c r="F18" s="201">
        <v>731.723</v>
      </c>
      <c r="G18" s="202">
        <v>744.57</v>
      </c>
      <c r="H18" s="201">
        <v>754.187</v>
      </c>
      <c r="I18" s="201">
        <v>765.234</v>
      </c>
      <c r="J18" s="201">
        <v>777.623</v>
      </c>
      <c r="K18" s="201">
        <v>791.71</v>
      </c>
      <c r="L18" s="201">
        <v>807.4</v>
      </c>
      <c r="M18" s="201">
        <v>831.727</v>
      </c>
    </row>
    <row r="19" spans="1:13" ht="12.75">
      <c r="A19">
        <v>1995</v>
      </c>
      <c r="B19" s="201">
        <v>858.832</v>
      </c>
      <c r="C19" s="201">
        <v>876.887</v>
      </c>
      <c r="D19" s="201">
        <v>893.171</v>
      </c>
      <c r="E19" s="201">
        <v>908.054</v>
      </c>
      <c r="F19" s="201">
        <v>924.438</v>
      </c>
      <c r="G19" s="201">
        <v>939.524</v>
      </c>
      <c r="H19" s="201">
        <v>951.695</v>
      </c>
      <c r="I19" s="201">
        <v>964.457</v>
      </c>
      <c r="J19" s="201">
        <v>995.604</v>
      </c>
      <c r="K19" s="206" t="s">
        <v>323</v>
      </c>
      <c r="L19" s="202" t="s">
        <v>324</v>
      </c>
      <c r="M19" s="202" t="s">
        <v>325</v>
      </c>
    </row>
    <row r="20" spans="1:13" ht="12.75">
      <c r="A20">
        <v>1996</v>
      </c>
      <c r="B20" s="207" t="s">
        <v>326</v>
      </c>
      <c r="C20" s="207" t="s">
        <v>327</v>
      </c>
      <c r="D20" s="207" t="s">
        <v>328</v>
      </c>
      <c r="E20" s="207" t="s">
        <v>329</v>
      </c>
      <c r="F20" s="207" t="s">
        <v>330</v>
      </c>
      <c r="G20" s="207" t="s">
        <v>331</v>
      </c>
      <c r="H20" s="207" t="s">
        <v>332</v>
      </c>
      <c r="I20" s="207" t="s">
        <v>333</v>
      </c>
      <c r="J20" s="207" t="s">
        <v>334</v>
      </c>
      <c r="K20" s="207" t="s">
        <v>335</v>
      </c>
      <c r="L20" s="207" t="s">
        <v>336</v>
      </c>
      <c r="M20" s="207" t="s">
        <v>337</v>
      </c>
    </row>
    <row r="21" spans="1:13" ht="12.75">
      <c r="A21">
        <v>1997</v>
      </c>
      <c r="B21" s="207" t="s">
        <v>338</v>
      </c>
      <c r="C21" s="207" t="s">
        <v>339</v>
      </c>
      <c r="D21" s="207" t="s">
        <v>340</v>
      </c>
      <c r="E21" s="207" t="s">
        <v>341</v>
      </c>
      <c r="F21" s="207" t="s">
        <v>342</v>
      </c>
      <c r="G21" s="207" t="s">
        <v>343</v>
      </c>
      <c r="H21" s="207" t="s">
        <v>344</v>
      </c>
      <c r="I21" s="207" t="s">
        <v>345</v>
      </c>
      <c r="J21" s="207" t="s">
        <v>346</v>
      </c>
      <c r="K21" s="207" t="s">
        <v>347</v>
      </c>
      <c r="L21" s="207" t="s">
        <v>348</v>
      </c>
      <c r="M21" s="207" t="s">
        <v>349</v>
      </c>
    </row>
    <row r="22" spans="1:13" ht="12.75">
      <c r="A22">
        <v>1998</v>
      </c>
      <c r="B22" s="208">
        <v>1807926</v>
      </c>
      <c r="C22" s="205">
        <v>1843036</v>
      </c>
      <c r="D22" s="205">
        <v>1886602</v>
      </c>
      <c r="E22" s="205">
        <v>1969965</v>
      </c>
      <c r="F22" s="205">
        <v>2004412</v>
      </c>
      <c r="G22" s="205">
        <v>2071303</v>
      </c>
      <c r="H22" s="205">
        <v>2103799</v>
      </c>
      <c r="I22" s="205">
        <v>2140723</v>
      </c>
      <c r="J22" s="205">
        <v>2223761</v>
      </c>
      <c r="K22" s="205">
        <v>2347114</v>
      </c>
      <c r="L22" s="205">
        <v>2404727</v>
      </c>
      <c r="M22" s="205">
        <v>2435098</v>
      </c>
    </row>
    <row r="23" spans="1:13" ht="12.75">
      <c r="A23">
        <v>1999</v>
      </c>
      <c r="B23" s="205">
        <v>2512250</v>
      </c>
      <c r="C23" s="205">
        <v>2603742</v>
      </c>
      <c r="D23" s="205">
        <v>2875117</v>
      </c>
      <c r="E23" s="205">
        <v>3122004</v>
      </c>
      <c r="F23" s="205">
        <v>3168974</v>
      </c>
      <c r="G23" s="205">
        <v>3204801</v>
      </c>
      <c r="H23" s="205">
        <v>3279856</v>
      </c>
      <c r="I23" s="205">
        <v>3307825</v>
      </c>
      <c r="J23" s="205">
        <v>3360077</v>
      </c>
      <c r="K23" s="205">
        <v>3479926</v>
      </c>
      <c r="L23" s="205">
        <v>3722291</v>
      </c>
      <c r="M23" s="205">
        <v>3990099</v>
      </c>
    </row>
    <row r="24" spans="1:13" ht="12.75">
      <c r="A24">
        <v>2000</v>
      </c>
      <c r="B24" s="205">
        <v>4468727</v>
      </c>
      <c r="C24" s="205">
        <v>4915933</v>
      </c>
      <c r="D24" s="205">
        <v>5420781</v>
      </c>
      <c r="E24" s="205">
        <v>6130488</v>
      </c>
      <c r="F24" s="205">
        <v>6518454</v>
      </c>
      <c r="G24" s="191">
        <v>274.76</v>
      </c>
      <c r="H24" s="191">
        <v>226.39</v>
      </c>
      <c r="I24" s="191">
        <v>229.46</v>
      </c>
      <c r="J24" s="197">
        <v>238.25661316067703</v>
      </c>
      <c r="K24" s="191">
        <v>244.17</v>
      </c>
      <c r="L24" s="191">
        <v>248.1</v>
      </c>
      <c r="M24" s="192">
        <v>252.93</v>
      </c>
    </row>
    <row r="25" spans="1:13" ht="12.75">
      <c r="A25">
        <v>2001</v>
      </c>
      <c r="B25" s="192">
        <v>269.77</v>
      </c>
      <c r="C25" s="192">
        <v>278.02</v>
      </c>
      <c r="D25" s="191">
        <v>284.25</v>
      </c>
      <c r="E25" s="191">
        <v>288.45</v>
      </c>
      <c r="F25" s="191">
        <v>287.77</v>
      </c>
      <c r="G25" s="191">
        <v>288.79</v>
      </c>
      <c r="H25" s="191">
        <v>290.66</v>
      </c>
      <c r="I25" s="191">
        <v>292.97</v>
      </c>
      <c r="J25" s="191">
        <v>299.42</v>
      </c>
      <c r="K25" s="191">
        <v>304.06</v>
      </c>
      <c r="L25" s="191">
        <v>310.21</v>
      </c>
      <c r="M25" s="191">
        <v>313.56</v>
      </c>
    </row>
    <row r="26" spans="1:13" ht="12.75">
      <c r="A26">
        <v>2002</v>
      </c>
      <c r="B26" s="191">
        <v>319.15</v>
      </c>
      <c r="C26" s="191">
        <v>323.18</v>
      </c>
      <c r="D26" s="191">
        <v>327.34</v>
      </c>
      <c r="E26" s="191">
        <v>330.31</v>
      </c>
      <c r="F26" s="191">
        <v>333.32</v>
      </c>
      <c r="G26" s="191">
        <v>334.05</v>
      </c>
      <c r="H26" s="191">
        <v>336.29</v>
      </c>
      <c r="I26" s="191">
        <v>339.91</v>
      </c>
      <c r="J26" s="191">
        <v>341.22</v>
      </c>
      <c r="K26" s="191">
        <v>346.14</v>
      </c>
      <c r="L26" s="191">
        <v>351.47</v>
      </c>
      <c r="M26" s="191">
        <v>353.24</v>
      </c>
    </row>
    <row r="27" spans="1:13" ht="12.75">
      <c r="A27">
        <v>2003</v>
      </c>
      <c r="B27" s="191">
        <v>361.75</v>
      </c>
      <c r="C27" s="191">
        <v>362</v>
      </c>
      <c r="D27" s="191">
        <v>363.79</v>
      </c>
      <c r="E27" s="191">
        <v>366.59</v>
      </c>
      <c r="F27" s="191">
        <v>368.72</v>
      </c>
      <c r="G27" s="191">
        <v>369.95</v>
      </c>
      <c r="H27" s="191">
        <v>371.11</v>
      </c>
      <c r="I27" s="191">
        <v>373.8</v>
      </c>
      <c r="J27" s="191">
        <v>376.47</v>
      </c>
      <c r="K27" s="191">
        <v>378.02</v>
      </c>
      <c r="L27" s="191">
        <v>378.29</v>
      </c>
      <c r="M27" s="191">
        <v>378.34</v>
      </c>
    </row>
    <row r="28" spans="1:13" ht="12.75">
      <c r="A28">
        <v>2004</v>
      </c>
      <c r="B28" s="191">
        <v>381.39</v>
      </c>
      <c r="C28" s="191">
        <v>384.03</v>
      </c>
      <c r="D28" s="191">
        <v>385.58</v>
      </c>
      <c r="E28" s="192">
        <v>387.59</v>
      </c>
      <c r="F28" s="192">
        <v>388.38</v>
      </c>
      <c r="G28" s="192">
        <v>387.76</v>
      </c>
      <c r="H28" s="192">
        <v>386.75</v>
      </c>
      <c r="I28" s="192">
        <v>388.57</v>
      </c>
      <c r="J28" s="192"/>
      <c r="K28" s="192"/>
      <c r="L28" s="192"/>
      <c r="M28" s="192"/>
    </row>
    <row r="30" spans="2:13" ht="12.75">
      <c r="B30" s="199"/>
      <c r="C30" s="249" t="s">
        <v>357</v>
      </c>
      <c r="D30" s="249"/>
      <c r="E30" s="249"/>
      <c r="F30" s="249"/>
      <c r="G30" s="249"/>
      <c r="H30" s="249"/>
      <c r="I30" s="249"/>
      <c r="J30" s="249"/>
      <c r="K30" s="249"/>
      <c r="L30" s="249"/>
      <c r="M30" s="198"/>
    </row>
    <row r="31" spans="2:13" ht="12.75">
      <c r="B31" s="41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41"/>
    </row>
    <row r="32" spans="1:13" ht="12.75">
      <c r="A32" s="186"/>
      <c r="B32" s="200" t="s">
        <v>311</v>
      </c>
      <c r="C32" s="200" t="s">
        <v>312</v>
      </c>
      <c r="D32" s="200" t="s">
        <v>313</v>
      </c>
      <c r="E32" s="200" t="s">
        <v>314</v>
      </c>
      <c r="F32" s="200" t="s">
        <v>315</v>
      </c>
      <c r="G32" s="200" t="s">
        <v>316</v>
      </c>
      <c r="H32" s="200" t="s">
        <v>317</v>
      </c>
      <c r="I32" s="200" t="s">
        <v>318</v>
      </c>
      <c r="J32" s="200" t="s">
        <v>320</v>
      </c>
      <c r="K32" s="200" t="s">
        <v>319</v>
      </c>
      <c r="L32" s="200" t="s">
        <v>321</v>
      </c>
      <c r="M32" s="200" t="s">
        <v>322</v>
      </c>
    </row>
    <row r="33" spans="1:13" ht="12.75">
      <c r="A33">
        <v>1982</v>
      </c>
      <c r="B33" s="209"/>
      <c r="C33" s="209"/>
      <c r="D33" s="209"/>
      <c r="E33" s="209"/>
      <c r="F33" s="209"/>
      <c r="G33" s="192"/>
      <c r="H33" s="192"/>
      <c r="I33" s="192"/>
      <c r="J33" s="209"/>
      <c r="K33" s="209"/>
      <c r="L33" s="210">
        <f>10758/33</f>
        <v>326</v>
      </c>
      <c r="M33" s="201"/>
    </row>
    <row r="34" spans="1:13" ht="12.75">
      <c r="A34">
        <v>1983</v>
      </c>
      <c r="B34" s="201"/>
      <c r="C34" s="201"/>
      <c r="D34" s="201"/>
      <c r="E34" s="201"/>
      <c r="F34" s="201"/>
      <c r="G34" s="202"/>
      <c r="H34" s="210">
        <f>15965/47.38</f>
        <v>336.95652173913044</v>
      </c>
      <c r="I34" s="202"/>
      <c r="J34" s="201"/>
      <c r="K34" s="201"/>
      <c r="L34" s="201"/>
      <c r="M34" s="201"/>
    </row>
    <row r="35" spans="1:13" ht="12.75">
      <c r="A35">
        <v>1984</v>
      </c>
      <c r="B35" s="210">
        <f>17757/54.9</f>
        <v>323.44262295081967</v>
      </c>
      <c r="C35" s="210"/>
      <c r="D35" s="210">
        <f>22932/57.9</f>
        <v>396.0621761658031</v>
      </c>
      <c r="E35" s="210"/>
      <c r="F35" s="210"/>
      <c r="G35" s="210"/>
      <c r="H35" s="210"/>
      <c r="I35" s="210"/>
      <c r="J35" s="210"/>
      <c r="K35" s="210"/>
      <c r="L35" s="210"/>
      <c r="M35" s="210"/>
    </row>
    <row r="36" spans="1:13" ht="12.75">
      <c r="A36">
        <v>1985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</row>
    <row r="37" spans="1:13" ht="12.75">
      <c r="A37">
        <v>1986</v>
      </c>
      <c r="B37" s="210">
        <f>26616/97.81</f>
        <v>272.11941519272057</v>
      </c>
      <c r="C37" s="210"/>
      <c r="D37" s="210"/>
      <c r="E37" s="210"/>
      <c r="F37" s="210"/>
      <c r="G37" s="210"/>
      <c r="H37" s="210"/>
      <c r="I37" s="210">
        <f>29640/133.27</f>
        <v>222.4056426802731</v>
      </c>
      <c r="J37" s="210"/>
      <c r="K37" s="210"/>
      <c r="L37" s="210"/>
      <c r="M37" s="210"/>
    </row>
    <row r="38" spans="1:13" ht="12.75">
      <c r="A38">
        <v>1987</v>
      </c>
      <c r="B38" s="210"/>
      <c r="C38" s="210"/>
      <c r="D38" s="210"/>
      <c r="E38" s="210"/>
      <c r="F38" s="210"/>
      <c r="G38" s="210"/>
      <c r="H38" s="210">
        <f>37667/162</f>
        <v>232.51234567901236</v>
      </c>
      <c r="I38" s="210"/>
      <c r="J38" s="210"/>
      <c r="K38" s="210"/>
      <c r="L38" s="210"/>
      <c r="M38" s="210"/>
    </row>
    <row r="39" spans="1:13" ht="12.75">
      <c r="A39">
        <v>1988</v>
      </c>
      <c r="B39" s="210"/>
      <c r="C39" s="210"/>
      <c r="D39" s="210"/>
      <c r="E39" s="210"/>
      <c r="F39" s="210"/>
      <c r="G39" s="210">
        <f>59354/250</f>
        <v>237.416</v>
      </c>
      <c r="H39" s="210"/>
      <c r="I39" s="210"/>
      <c r="J39" s="210">
        <f>70169/409.5</f>
        <v>171.35286935286936</v>
      </c>
      <c r="K39" s="210"/>
      <c r="L39" s="210"/>
      <c r="M39" s="210"/>
    </row>
    <row r="40" spans="1:13" ht="12.75">
      <c r="A40">
        <v>1989</v>
      </c>
      <c r="B40" s="210"/>
      <c r="C40" s="210"/>
      <c r="D40" s="210"/>
      <c r="E40" s="210"/>
      <c r="F40" s="210">
        <f>104177/501.38</f>
        <v>207.78052574893294</v>
      </c>
      <c r="G40" s="210"/>
      <c r="H40" s="210"/>
      <c r="I40" s="210"/>
      <c r="J40" s="210"/>
      <c r="K40" s="210"/>
      <c r="L40" s="210">
        <f>124785/610.79</f>
        <v>204.30098724602564</v>
      </c>
      <c r="M40" s="210"/>
    </row>
    <row r="41" spans="1:13" ht="12.75">
      <c r="A41">
        <v>1990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>
        <f>173107/833.34</f>
        <v>207.7267381860945</v>
      </c>
      <c r="L41" s="210">
        <f>179071/847.38</f>
        <v>211.32313719936747</v>
      </c>
      <c r="M41" s="210">
        <f>183773/863.68</f>
        <v>212.77903853278994</v>
      </c>
    </row>
    <row r="42" spans="1:13" ht="12.75">
      <c r="A42">
        <v>1991</v>
      </c>
      <c r="B42" s="210">
        <f>193596/879.51</f>
        <v>220.11802026128186</v>
      </c>
      <c r="C42" s="210">
        <f>201455/919.95</f>
        <v>218.98472743083863</v>
      </c>
      <c r="D42" s="210">
        <f>208823/962.88</f>
        <v>216.8733383183782</v>
      </c>
      <c r="E42" s="210">
        <f>214928/978.14</f>
        <v>219.731326803934</v>
      </c>
      <c r="F42" s="210">
        <f>223769/994.5</f>
        <v>225.00653594771242</v>
      </c>
      <c r="G42" s="210">
        <f>230786/1010.27</f>
        <v>228.43992200104924</v>
      </c>
      <c r="H42" s="210">
        <f>236399/1026.63</f>
        <v>230.2669900548396</v>
      </c>
      <c r="I42" s="210">
        <f>242223/1060.91</f>
        <v>228.3162567984089</v>
      </c>
      <c r="J42" s="210">
        <f>251135/1098.5</f>
        <v>228.6162949476559</v>
      </c>
      <c r="K42" s="210">
        <f>258362/1114.86</f>
        <v>231.7438960945769</v>
      </c>
      <c r="L42" s="210">
        <f>264467/1128.9</f>
        <v>234.26964301532465</v>
      </c>
      <c r="M42" s="210">
        <f>276536/1202.58</f>
        <v>229.95226928769813</v>
      </c>
    </row>
    <row r="43" spans="1:13" ht="12.75">
      <c r="A43">
        <v>1992</v>
      </c>
      <c r="B43" s="210">
        <f>289868/1275.78</f>
        <v>227.20845286804936</v>
      </c>
      <c r="C43" s="210">
        <f>300113/1293.34</f>
        <v>232.04493791269118</v>
      </c>
      <c r="D43" s="210">
        <f>309586/1308.39</f>
        <v>236.61599370218357</v>
      </c>
      <c r="E43" s="210">
        <f>325865/1322.19</f>
        <v>246.45852714057736</v>
      </c>
      <c r="F43" s="210">
        <f>338425/1345.12</f>
        <v>251.59465326513623</v>
      </c>
      <c r="G43" s="210">
        <f>350915/1394.24</f>
        <v>251.68909226532017</v>
      </c>
      <c r="H43" s="210">
        <f>362212/1438.17</f>
        <v>251.85617833774864</v>
      </c>
      <c r="I43" s="210">
        <f>378842/1459.49</f>
        <v>259.5714941520668</v>
      </c>
      <c r="J43" s="210"/>
      <c r="K43" s="210"/>
      <c r="L43" s="210"/>
      <c r="M43" s="210"/>
    </row>
    <row r="44" spans="1:13" ht="12.75">
      <c r="A44">
        <v>1993</v>
      </c>
      <c r="B44" s="201"/>
      <c r="C44" s="201"/>
      <c r="D44" s="201"/>
      <c r="E44" s="201"/>
      <c r="F44" s="201"/>
      <c r="G44" s="202">
        <f>557580/2000</f>
        <v>278.79</v>
      </c>
      <c r="H44" s="210">
        <f>566808/2000</f>
        <v>283.404</v>
      </c>
      <c r="I44" s="210">
        <f>575597/2000</f>
        <v>287.7985</v>
      </c>
      <c r="J44" s="210">
        <f>588754/1978.43</f>
        <v>297.58647007981074</v>
      </c>
      <c r="K44" s="210">
        <f>603732/1950.1</f>
        <v>309.5902774216707</v>
      </c>
      <c r="L44" s="210">
        <f>613140/1953.45</f>
        <v>313.8754511249328</v>
      </c>
      <c r="M44" s="210">
        <f>617923/1980.9</f>
        <v>311.9405320813771</v>
      </c>
    </row>
    <row r="45" spans="1:13" ht="12.75">
      <c r="A45">
        <v>1994</v>
      </c>
      <c r="B45" s="210">
        <f>657900/2031.04</f>
        <v>323.92271939498977</v>
      </c>
      <c r="C45" s="210">
        <f>679466/2086</f>
        <v>325.7267497603068</v>
      </c>
      <c r="D45" s="210">
        <f>701925/2076.7</f>
        <v>338.0001926132807</v>
      </c>
      <c r="E45" s="210">
        <f>719981/2137.27</f>
        <v>336.86946431662824</v>
      </c>
      <c r="F45" s="210">
        <f>731723/2165.84</f>
        <v>337.84720939681597</v>
      </c>
      <c r="G45" s="210">
        <f>744570/2171.22</f>
        <v>342.9270179898859</v>
      </c>
      <c r="H45" s="210">
        <f>754187/2183.31</f>
        <v>345.432851954143</v>
      </c>
      <c r="I45" s="210">
        <f>765234/2211.36</f>
        <v>346.046776644237</v>
      </c>
      <c r="J45" s="210">
        <f>777623/2252.13</f>
        <v>345.283353980454</v>
      </c>
      <c r="K45" s="210">
        <f>791710/2264.38</f>
        <v>349.63654510285374</v>
      </c>
      <c r="L45" s="210">
        <f>807400/2282.35</f>
        <v>353.7581878327163</v>
      </c>
      <c r="M45" s="210">
        <f>831727/2305.27</f>
        <v>360.79374650257887</v>
      </c>
    </row>
    <row r="46" spans="1:13" ht="12.75">
      <c r="A46">
        <v>1995</v>
      </c>
      <c r="B46" s="210">
        <f>858832/2299.95</f>
        <v>373.4133350725016</v>
      </c>
      <c r="C46" s="210">
        <f>876887/2359.04</f>
        <v>371.71349362452526</v>
      </c>
      <c r="D46" s="210">
        <f>893171/2402.75</f>
        <v>371.72864426178336</v>
      </c>
      <c r="E46" s="210">
        <f>908054/2410.71</f>
        <v>376.67492149615674</v>
      </c>
      <c r="F46" s="210">
        <f>924438/2442.55</f>
        <v>378.472498004135</v>
      </c>
      <c r="G46" s="210">
        <f>939524/2464.04</f>
        <v>381.29413483547347</v>
      </c>
      <c r="H46" s="210">
        <f>951695/2556.19</f>
        <v>372.3099613096053</v>
      </c>
      <c r="I46" s="210">
        <f>964457/2575.85</f>
        <v>374.4228118873382</v>
      </c>
      <c r="J46" s="210">
        <f>995604/2603.34</f>
        <v>382.43333563806493</v>
      </c>
      <c r="K46" s="211">
        <f>1019271/2642.21</f>
        <v>385.7645682969938</v>
      </c>
      <c r="L46" s="210">
        <f>1036873/2700.14</f>
        <v>384.00712555645265</v>
      </c>
      <c r="M46" s="210">
        <f>1053989/2856.59</f>
        <v>368.96754522000003</v>
      </c>
    </row>
    <row r="47" spans="1:13" ht="12.75">
      <c r="A47">
        <v>1996</v>
      </c>
      <c r="B47" s="211">
        <f>1083559/2924.89</f>
        <v>370.4614532512334</v>
      </c>
      <c r="C47" s="211">
        <f>1113233/2928.86</f>
        <v>380.0908886051228</v>
      </c>
      <c r="D47" s="211">
        <f>1143099/2963.65</f>
        <v>385.70647681068954</v>
      </c>
      <c r="E47" s="211">
        <f>1165373/3041.15</f>
        <v>383.20142051526557</v>
      </c>
      <c r="F47" s="211">
        <f>1175295/3080.95</f>
        <v>381.47162401207424</v>
      </c>
      <c r="G47" s="211">
        <f>1201035/3121.9</f>
        <v>384.7128351324514</v>
      </c>
      <c r="H47" s="211">
        <f>1225233/3150.52</f>
        <v>388.8986579993144</v>
      </c>
      <c r="I47" s="211">
        <f>1249701/3189.65</f>
        <v>391.7987867007352</v>
      </c>
      <c r="J47" s="211">
        <f>1279034/3288.42</f>
        <v>388.9509247602192</v>
      </c>
      <c r="K47" s="211">
        <f>1311802/3297.14</f>
        <v>397.8605700698181</v>
      </c>
      <c r="L47" s="211">
        <f>1329621/3330.3</f>
        <v>399.24961715160794</v>
      </c>
      <c r="M47" s="211">
        <f>1351061/3454.25</f>
        <v>391.1300571759427</v>
      </c>
    </row>
    <row r="48" spans="1:13" ht="12.75">
      <c r="A48">
        <v>1997</v>
      </c>
      <c r="B48" s="211">
        <f>1422699/3625.45</f>
        <v>392.4199754513233</v>
      </c>
      <c r="C48" s="211">
        <f>1470664/3686.89</f>
        <v>398.8901214845032</v>
      </c>
      <c r="D48" s="211">
        <f>1494343/3750</f>
        <v>398.49146666666667</v>
      </c>
      <c r="E48" s="211">
        <f>1528371/3793.85</f>
        <v>402.85488356155355</v>
      </c>
      <c r="F48" s="211">
        <f>1542238/3851.95</f>
        <v>400.37850958605384</v>
      </c>
      <c r="G48" s="211">
        <f>1565405/3906</f>
        <v>400.7693292370712</v>
      </c>
      <c r="H48" s="211">
        <f>1603613/3969.59</f>
        <v>403.97446587682856</v>
      </c>
      <c r="I48" s="211">
        <f>1630201/4036.47</f>
        <v>403.8679836589892</v>
      </c>
      <c r="J48" s="211">
        <f>1661520/4104.38</f>
        <v>404.8163181771668</v>
      </c>
      <c r="K48" s="211">
        <f>1701392/4136.95</f>
        <v>411.2672379409952</v>
      </c>
      <c r="L48" s="211">
        <f>1730599/4217.38</f>
        <v>410.3493164002295</v>
      </c>
      <c r="M48" s="211">
        <f>1756143/4302.42</f>
        <v>408.1756313888463</v>
      </c>
    </row>
    <row r="49" spans="1:13" ht="12.75">
      <c r="A49">
        <v>1998</v>
      </c>
      <c r="B49" s="212">
        <f>1807926/4432.85</f>
        <v>407.84732170048613</v>
      </c>
      <c r="C49" s="213">
        <f>1843036/4510.57</f>
        <v>408.60379065173584</v>
      </c>
      <c r="D49" s="213">
        <f>1886602/4554.72</f>
        <v>414.20811817191833</v>
      </c>
      <c r="E49" s="213">
        <f>1969965/4730.95</f>
        <v>416.39945465498477</v>
      </c>
      <c r="F49" s="213">
        <f>2004412/5015.33</f>
        <v>399.65705148016184</v>
      </c>
      <c r="G49" s="213">
        <f>2071303/5167.71</f>
        <v>400.81641578184536</v>
      </c>
      <c r="H49" s="213">
        <f>2103799/5268.27</f>
        <v>399.3339369470433</v>
      </c>
      <c r="I49" s="213">
        <f>2140723/5323.71</f>
        <v>402.11112175531724</v>
      </c>
      <c r="J49" s="213">
        <f>2223761/5466.04</f>
        <v>406.832185640793</v>
      </c>
      <c r="K49" s="213">
        <f>2347114/6106</f>
        <v>384.3946937438585</v>
      </c>
      <c r="L49" s="213">
        <f>2404727/6716.68</f>
        <v>358.02316025179107</v>
      </c>
      <c r="M49" s="213">
        <f>2435098/6455.04</f>
        <v>377.2398002181241</v>
      </c>
    </row>
    <row r="50" spans="1:13" ht="12.75">
      <c r="A50">
        <v>1999</v>
      </c>
      <c r="B50" s="213">
        <f>2512250/6712.95</f>
        <v>374.239343358732</v>
      </c>
      <c r="C50" s="213">
        <f>2603742/7193.31</f>
        <v>361.96716115390547</v>
      </c>
      <c r="D50" s="213">
        <f>2875117/8252.64</f>
        <v>348.3875462882181</v>
      </c>
      <c r="E50" s="213">
        <f>3122004/10551.27</f>
        <v>295.8889309059478</v>
      </c>
      <c r="F50" s="213">
        <f>3168974/9110</f>
        <v>347.85664105378703</v>
      </c>
      <c r="G50" s="213">
        <f>3204801/9318.38</f>
        <v>343.9225487692067</v>
      </c>
      <c r="H50" s="213">
        <f>3279856/11453</f>
        <v>286.375272854274</v>
      </c>
      <c r="I50" s="213">
        <f>3307825/11672.05</f>
        <v>283.3970896286428</v>
      </c>
      <c r="J50" s="213">
        <f>3360077/11101.65</f>
        <v>302.6646489485797</v>
      </c>
      <c r="K50" s="213">
        <f>3479926/13006.22</f>
        <v>267.5585988857639</v>
      </c>
      <c r="L50" s="213">
        <f>3722291/16282</f>
        <v>228.61386807517505</v>
      </c>
      <c r="M50" s="213">
        <f>3990099/17698.09</f>
        <v>225.45365064817727</v>
      </c>
    </row>
    <row r="51" spans="1:13" ht="12.75">
      <c r="A51">
        <v>2000</v>
      </c>
      <c r="B51" s="213">
        <f>4468727/19811.04</f>
        <v>225.56751185197749</v>
      </c>
      <c r="C51" s="213">
        <f>4915933/25000</f>
        <v>196.63732</v>
      </c>
      <c r="D51" s="213">
        <f>5420781/25000</f>
        <v>216.83124</v>
      </c>
      <c r="E51" s="213">
        <f>6130488/25000</f>
        <v>245.21952</v>
      </c>
      <c r="F51" s="213">
        <f>6518454/25000</f>
        <v>260.73816</v>
      </c>
      <c r="G51" s="191">
        <v>274.76</v>
      </c>
      <c r="H51" s="191">
        <v>226.39</v>
      </c>
      <c r="I51" s="191">
        <v>229.46</v>
      </c>
      <c r="J51" s="197">
        <v>238.25661316067703</v>
      </c>
      <c r="K51" s="191">
        <v>244.17</v>
      </c>
      <c r="L51" s="191">
        <v>248.1</v>
      </c>
      <c r="M51" s="192">
        <v>252.93</v>
      </c>
    </row>
    <row r="52" spans="1:13" ht="12.75">
      <c r="A52">
        <v>2001</v>
      </c>
      <c r="B52" s="192">
        <v>269.77</v>
      </c>
      <c r="C52" s="192">
        <v>278.02</v>
      </c>
      <c r="D52" s="191">
        <v>284.25</v>
      </c>
      <c r="E52" s="191">
        <v>288.45</v>
      </c>
      <c r="F52" s="191">
        <v>287.77</v>
      </c>
      <c r="G52" s="191">
        <v>288.79</v>
      </c>
      <c r="H52" s="191">
        <v>290.66</v>
      </c>
      <c r="I52" s="191">
        <v>292.97</v>
      </c>
      <c r="J52" s="191">
        <v>299.42</v>
      </c>
      <c r="K52" s="191">
        <v>304.06</v>
      </c>
      <c r="L52" s="191">
        <v>310.21</v>
      </c>
      <c r="M52" s="191">
        <v>313.56</v>
      </c>
    </row>
    <row r="53" spans="1:13" ht="12.75">
      <c r="A53">
        <v>2002</v>
      </c>
      <c r="B53" s="191">
        <v>319.15</v>
      </c>
      <c r="C53" s="191">
        <v>323.18</v>
      </c>
      <c r="D53" s="191">
        <v>327.34</v>
      </c>
      <c r="E53" s="191">
        <v>330.31</v>
      </c>
      <c r="F53" s="191">
        <v>333.32</v>
      </c>
      <c r="G53" s="191">
        <v>334.05</v>
      </c>
      <c r="H53" s="191">
        <v>336.29</v>
      </c>
      <c r="I53" s="191">
        <v>339.91</v>
      </c>
      <c r="J53" s="191">
        <v>341.22</v>
      </c>
      <c r="K53" s="191">
        <v>346.14</v>
      </c>
      <c r="L53" s="191">
        <v>351.47</v>
      </c>
      <c r="M53" s="191">
        <v>353.24</v>
      </c>
    </row>
    <row r="54" spans="1:13" ht="12.75">
      <c r="A54">
        <v>2003</v>
      </c>
      <c r="B54" s="191">
        <v>361.75</v>
      </c>
      <c r="C54" s="191">
        <v>362</v>
      </c>
      <c r="D54" s="191">
        <v>363.79</v>
      </c>
      <c r="E54" s="191">
        <v>366.59</v>
      </c>
      <c r="F54" s="191">
        <v>368.72</v>
      </c>
      <c r="G54" s="191">
        <v>369.95</v>
      </c>
      <c r="H54" s="191">
        <v>371.11</v>
      </c>
      <c r="I54" s="191">
        <v>373.8</v>
      </c>
      <c r="J54" s="191">
        <v>376.47</v>
      </c>
      <c r="K54" s="191">
        <v>378.02</v>
      </c>
      <c r="L54" s="191">
        <v>378.29</v>
      </c>
      <c r="M54" s="191">
        <v>378.34</v>
      </c>
    </row>
    <row r="55" spans="1:13" ht="12.75">
      <c r="A55">
        <v>2004</v>
      </c>
      <c r="B55" s="191">
        <v>381.39</v>
      </c>
      <c r="C55" s="191">
        <v>384.03</v>
      </c>
      <c r="D55" s="191">
        <v>385.58</v>
      </c>
      <c r="E55" s="192">
        <v>387.59</v>
      </c>
      <c r="F55" s="192">
        <v>388.38</v>
      </c>
      <c r="G55" s="192">
        <v>387.76</v>
      </c>
      <c r="H55" s="192">
        <v>386.75</v>
      </c>
      <c r="I55" s="192">
        <v>388.57</v>
      </c>
      <c r="J55" s="192">
        <v>388.98</v>
      </c>
      <c r="K55" s="192">
        <v>390.21</v>
      </c>
      <c r="L55" s="192">
        <v>392.26</v>
      </c>
      <c r="M55" s="192">
        <v>394.45</v>
      </c>
    </row>
    <row r="56" spans="2:13" ht="12.75">
      <c r="B56" s="216"/>
      <c r="C56" s="216"/>
      <c r="D56" s="216"/>
      <c r="E56" s="184"/>
      <c r="F56" s="184"/>
      <c r="G56" s="184"/>
      <c r="H56" s="184"/>
      <c r="I56" s="184"/>
      <c r="J56" s="184"/>
      <c r="K56" s="184"/>
      <c r="L56" s="184"/>
      <c r="M56" s="184"/>
    </row>
    <row r="57" spans="2:13" ht="12.75">
      <c r="B57" s="216"/>
      <c r="C57" s="216"/>
      <c r="D57" s="216"/>
      <c r="E57" s="184"/>
      <c r="F57" s="184"/>
      <c r="G57" s="184"/>
      <c r="H57" s="184"/>
      <c r="I57" s="184"/>
      <c r="J57" s="184"/>
      <c r="K57" s="184"/>
      <c r="L57" s="184"/>
      <c r="M57" s="184"/>
    </row>
    <row r="58" spans="2:13" ht="12.75">
      <c r="B58" s="216"/>
      <c r="C58" s="216"/>
      <c r="D58" s="216"/>
      <c r="E58" s="184"/>
      <c r="F58" s="184"/>
      <c r="G58" s="184"/>
      <c r="H58" s="184"/>
      <c r="I58" s="184"/>
      <c r="J58" s="184"/>
      <c r="K58" s="184"/>
      <c r="L58" s="184"/>
      <c r="M58" s="184"/>
    </row>
    <row r="59" spans="2:13" ht="12.75">
      <c r="B59" s="216"/>
      <c r="C59" s="216"/>
      <c r="D59" s="216"/>
      <c r="E59" s="184"/>
      <c r="F59" s="184"/>
      <c r="G59" s="184"/>
      <c r="H59" s="184"/>
      <c r="I59" s="184"/>
      <c r="J59" s="184"/>
      <c r="K59" s="184"/>
      <c r="L59" s="184"/>
      <c r="M59" s="184"/>
    </row>
    <row r="60" spans="2:13" ht="12.75">
      <c r="B60" s="216"/>
      <c r="C60" s="216"/>
      <c r="D60" s="216"/>
      <c r="E60" s="184"/>
      <c r="F60" s="184"/>
      <c r="G60" s="184"/>
      <c r="H60" s="184"/>
      <c r="I60" s="184"/>
      <c r="J60" s="184"/>
      <c r="K60" s="184"/>
      <c r="L60" s="184"/>
      <c r="M60" s="184"/>
    </row>
    <row r="62" spans="1:13" ht="12.75">
      <c r="A62" s="244"/>
      <c r="B62" s="193"/>
      <c r="C62" s="245" t="s">
        <v>350</v>
      </c>
      <c r="D62" s="246"/>
      <c r="E62" s="246"/>
      <c r="F62" s="246"/>
      <c r="G62" s="246"/>
      <c r="H62" s="246"/>
      <c r="I62" s="246"/>
      <c r="J62" s="246"/>
      <c r="K62" s="247"/>
      <c r="L62" s="248"/>
      <c r="M62" s="193"/>
    </row>
    <row r="63" spans="1:13" ht="12.75">
      <c r="A63" s="244"/>
      <c r="B63" s="193" t="s">
        <v>311</v>
      </c>
      <c r="C63" s="193" t="s">
        <v>312</v>
      </c>
      <c r="D63" s="193" t="s">
        <v>313</v>
      </c>
      <c r="E63" s="193" t="s">
        <v>314</v>
      </c>
      <c r="F63" s="193" t="s">
        <v>315</v>
      </c>
      <c r="G63" s="193" t="s">
        <v>316</v>
      </c>
      <c r="H63" s="193" t="s">
        <v>317</v>
      </c>
      <c r="I63" s="193" t="s">
        <v>318</v>
      </c>
      <c r="J63" s="193" t="s">
        <v>352</v>
      </c>
      <c r="K63" s="193" t="s">
        <v>319</v>
      </c>
      <c r="L63" s="193" t="s">
        <v>353</v>
      </c>
      <c r="M63" s="193" t="s">
        <v>354</v>
      </c>
    </row>
    <row r="64" spans="1:13" ht="12.75">
      <c r="A64">
        <v>1994</v>
      </c>
      <c r="B64" s="210">
        <f>((B45/M44)-1)*100</f>
        <v>3.841176788942202</v>
      </c>
      <c r="C64" s="210">
        <f aca="true" t="shared" si="0" ref="C64:C74">((C45/B45)-1)*100</f>
        <v>0.5569323351837019</v>
      </c>
      <c r="D64" s="210">
        <f aca="true" t="shared" si="1" ref="D64:M64">((D45/C45)-1)*100</f>
        <v>3.768018089397196</v>
      </c>
      <c r="E64" s="210">
        <f t="shared" si="1"/>
        <v>-0.334534808371012</v>
      </c>
      <c r="F64" s="210">
        <f t="shared" si="1"/>
        <v>0.29024449638710426</v>
      </c>
      <c r="G64" s="210">
        <f t="shared" si="1"/>
        <v>1.5035816344729502</v>
      </c>
      <c r="H64" s="210">
        <f t="shared" si="1"/>
        <v>0.7307193171729232</v>
      </c>
      <c r="I64" s="210">
        <f t="shared" si="1"/>
        <v>0.1777262025371762</v>
      </c>
      <c r="J64" s="210">
        <f t="shared" si="1"/>
        <v>-0.22061256318761657</v>
      </c>
      <c r="K64" s="210">
        <f t="shared" si="1"/>
        <v>1.2607590467990315</v>
      </c>
      <c r="L64" s="210">
        <f t="shared" si="1"/>
        <v>1.1788363623860043</v>
      </c>
      <c r="M64" s="210">
        <f t="shared" si="1"/>
        <v>1.9888044748774814</v>
      </c>
    </row>
    <row r="65" spans="1:13" ht="12.75">
      <c r="A65">
        <v>1995</v>
      </c>
      <c r="B65" s="210">
        <f aca="true" t="shared" si="2" ref="B65:B74">((B46/M45)-1)*100</f>
        <v>3.4977292961014594</v>
      </c>
      <c r="C65" s="210">
        <f t="shared" si="0"/>
        <v>-0.45521712491769506</v>
      </c>
      <c r="D65" s="210">
        <f aca="true" t="shared" si="3" ref="D65:M65">((D46/C46)-1)*100</f>
        <v>0.00407589111450779</v>
      </c>
      <c r="E65" s="210">
        <f t="shared" si="3"/>
        <v>1.3306150361902302</v>
      </c>
      <c r="F65" s="210">
        <f t="shared" si="3"/>
        <v>0.47722224268029745</v>
      </c>
      <c r="G65" s="210">
        <f t="shared" si="3"/>
        <v>0.7455328580592502</v>
      </c>
      <c r="H65" s="210">
        <f t="shared" si="3"/>
        <v>-2.356231765732464</v>
      </c>
      <c r="I65" s="210">
        <f t="shared" si="3"/>
        <v>0.5674977296607597</v>
      </c>
      <c r="J65" s="210">
        <f t="shared" si="3"/>
        <v>2.1394326137204045</v>
      </c>
      <c r="K65" s="210">
        <f t="shared" si="3"/>
        <v>0.8710623129573491</v>
      </c>
      <c r="L65" s="210">
        <f t="shared" si="3"/>
        <v>-0.4555739134621928</v>
      </c>
      <c r="M65" s="210">
        <f t="shared" si="3"/>
        <v>-3.9164847044593887</v>
      </c>
    </row>
    <row r="66" spans="1:13" ht="12.75">
      <c r="A66">
        <v>1996</v>
      </c>
      <c r="B66" s="210">
        <f t="shared" si="2"/>
        <v>0.4048887363094833</v>
      </c>
      <c r="C66" s="210">
        <f t="shared" si="0"/>
        <v>2.599308313828552</v>
      </c>
      <c r="D66" s="210">
        <f aca="true" t="shared" si="4" ref="D66:M66">((D47/C47)-1)*100</f>
        <v>1.4774329966643185</v>
      </c>
      <c r="E66" s="210">
        <f t="shared" si="4"/>
        <v>-0.6494721883173016</v>
      </c>
      <c r="F66" s="210">
        <f t="shared" si="4"/>
        <v>-0.4514065999195349</v>
      </c>
      <c r="G66" s="210">
        <f t="shared" si="4"/>
        <v>0.8496598216895412</v>
      </c>
      <c r="H66" s="210">
        <f t="shared" si="4"/>
        <v>1.0880382676657696</v>
      </c>
      <c r="I66" s="210">
        <f t="shared" si="4"/>
        <v>0.7457286472369207</v>
      </c>
      <c r="J66" s="210">
        <f t="shared" si="4"/>
        <v>-0.7268684940291203</v>
      </c>
      <c r="K66" s="210">
        <f t="shared" si="4"/>
        <v>2.290686238910866</v>
      </c>
      <c r="L66" s="210">
        <f t="shared" si="4"/>
        <v>0.3491291136354935</v>
      </c>
      <c r="M66" s="210">
        <f t="shared" si="4"/>
        <v>-2.0337051375510784</v>
      </c>
    </row>
    <row r="67" spans="1:13" ht="12.75">
      <c r="A67">
        <v>1997</v>
      </c>
      <c r="B67" s="210">
        <f t="shared" si="2"/>
        <v>0.32979267425627956</v>
      </c>
      <c r="C67" s="210">
        <f t="shared" si="0"/>
        <v>1.648781009615674</v>
      </c>
      <c r="D67" s="210">
        <f aca="true" t="shared" si="5" ref="D67:M67">((D48/C48)-1)*100</f>
        <v>-0.09994101040980974</v>
      </c>
      <c r="E67" s="210">
        <f t="shared" si="5"/>
        <v>1.0949837725224842</v>
      </c>
      <c r="F67" s="210">
        <f t="shared" si="5"/>
        <v>-0.614706207259208</v>
      </c>
      <c r="G67" s="210">
        <f t="shared" si="5"/>
        <v>0.09761254454476731</v>
      </c>
      <c r="H67" s="210">
        <f t="shared" si="5"/>
        <v>0.7997459900084936</v>
      </c>
      <c r="I67" s="210">
        <f t="shared" si="5"/>
        <v>-0.02635865056674902</v>
      </c>
      <c r="J67" s="210">
        <f t="shared" si="5"/>
        <v>0.23481299745173878</v>
      </c>
      <c r="K67" s="210">
        <f t="shared" si="5"/>
        <v>1.593542422616756</v>
      </c>
      <c r="L67" s="210">
        <f t="shared" si="5"/>
        <v>-0.22319345089613085</v>
      </c>
      <c r="M67" s="210">
        <f t="shared" si="5"/>
        <v>-0.5297157627681126</v>
      </c>
    </row>
    <row r="68" spans="1:13" ht="12.75">
      <c r="A68">
        <v>1998</v>
      </c>
      <c r="B68" s="210">
        <f t="shared" si="2"/>
        <v>-0.08043343676422676</v>
      </c>
      <c r="C68" s="210">
        <f t="shared" si="0"/>
        <v>0.18547846485681418</v>
      </c>
      <c r="D68" s="210">
        <f aca="true" t="shared" si="6" ref="D68:M68">((D49/C49)-1)*100</f>
        <v>1.3715799139414342</v>
      </c>
      <c r="E68" s="210">
        <f t="shared" si="6"/>
        <v>0.5290423791638244</v>
      </c>
      <c r="F68" s="210">
        <f t="shared" si="6"/>
        <v>-4.0207553078317915</v>
      </c>
      <c r="G68" s="210">
        <f t="shared" si="6"/>
        <v>0.29008979008120495</v>
      </c>
      <c r="H68" s="210">
        <f t="shared" si="6"/>
        <v>-0.3698648000507454</v>
      </c>
      <c r="I68" s="210">
        <f t="shared" si="6"/>
        <v>0.6954542430092081</v>
      </c>
      <c r="J68" s="210">
        <f t="shared" si="6"/>
        <v>1.1740694624080783</v>
      </c>
      <c r="K68" s="210">
        <f t="shared" si="6"/>
        <v>-5.515171289015308</v>
      </c>
      <c r="L68" s="210">
        <f t="shared" si="6"/>
        <v>-6.860535257450806</v>
      </c>
      <c r="M68" s="210">
        <f t="shared" si="6"/>
        <v>5.367429289439918</v>
      </c>
    </row>
    <row r="69" spans="1:13" ht="12.75">
      <c r="A69">
        <v>1999</v>
      </c>
      <c r="B69" s="210">
        <f t="shared" si="2"/>
        <v>-0.7953712353938269</v>
      </c>
      <c r="C69" s="210">
        <f t="shared" si="0"/>
        <v>-3.2792335767495406</v>
      </c>
      <c r="D69" s="210">
        <f aca="true" t="shared" si="7" ref="D69:M69">((D50/C50)-1)*100</f>
        <v>-3.7516151527108854</v>
      </c>
      <c r="E69" s="210">
        <f t="shared" si="7"/>
        <v>-15.069027564733517</v>
      </c>
      <c r="F69" s="210">
        <f t="shared" si="7"/>
        <v>17.563249151877812</v>
      </c>
      <c r="G69" s="210">
        <f t="shared" si="7"/>
        <v>-1.1309521855504934</v>
      </c>
      <c r="H69" s="210">
        <f t="shared" si="7"/>
        <v>-16.732626610519365</v>
      </c>
      <c r="I69" s="210">
        <f t="shared" si="7"/>
        <v>-1.0399582324087997</v>
      </c>
      <c r="J69" s="210">
        <f t="shared" si="7"/>
        <v>6.79878517637027</v>
      </c>
      <c r="K69" s="210">
        <f t="shared" si="7"/>
        <v>-11.598992543321451</v>
      </c>
      <c r="L69" s="210">
        <f t="shared" si="7"/>
        <v>-14.555589307453577</v>
      </c>
      <c r="M69" s="210">
        <f t="shared" si="7"/>
        <v>-1.3823384616188705</v>
      </c>
    </row>
    <row r="70" spans="1:13" ht="12.75">
      <c r="A70">
        <v>2000</v>
      </c>
      <c r="B70" s="210">
        <f t="shared" si="2"/>
        <v>0.05050315374039993</v>
      </c>
      <c r="C70" s="210">
        <f t="shared" si="0"/>
        <v>-12.82551357438484</v>
      </c>
      <c r="D70" s="210">
        <f aca="true" t="shared" si="8" ref="D70:M70">((D51/C51)-1)*100</f>
        <v>10.269627352529032</v>
      </c>
      <c r="E70" s="210">
        <f t="shared" si="8"/>
        <v>13.09233853940972</v>
      </c>
      <c r="F70" s="210">
        <f t="shared" si="8"/>
        <v>6.328468467763093</v>
      </c>
      <c r="G70" s="214">
        <f t="shared" si="8"/>
        <v>5.377747545660361</v>
      </c>
      <c r="H70" s="214">
        <f t="shared" si="8"/>
        <v>-17.60445479691367</v>
      </c>
      <c r="I70" s="214">
        <f t="shared" si="8"/>
        <v>1.3560669640885203</v>
      </c>
      <c r="J70" s="214">
        <f t="shared" si="8"/>
        <v>3.8336150791759005</v>
      </c>
      <c r="K70" s="214">
        <f t="shared" si="8"/>
        <v>2.481940274763761</v>
      </c>
      <c r="L70" s="214">
        <f t="shared" si="8"/>
        <v>1.6095343408281115</v>
      </c>
      <c r="M70" s="214">
        <f t="shared" si="8"/>
        <v>1.946795646916577</v>
      </c>
    </row>
    <row r="71" spans="1:13" ht="12.75">
      <c r="A71">
        <v>2001</v>
      </c>
      <c r="B71" s="210">
        <f t="shared" si="2"/>
        <v>6.657968607915232</v>
      </c>
      <c r="C71" s="214">
        <f t="shared" si="0"/>
        <v>3.058160655373099</v>
      </c>
      <c r="D71" s="214">
        <f aca="true" t="shared" si="9" ref="D71:M71">((D52/C52)-1)*100</f>
        <v>2.24084598230343</v>
      </c>
      <c r="E71" s="214">
        <f t="shared" si="9"/>
        <v>1.4775725593667577</v>
      </c>
      <c r="F71" s="214">
        <f t="shared" si="9"/>
        <v>-0.23574276304385577</v>
      </c>
      <c r="G71" s="214">
        <f t="shared" si="9"/>
        <v>0.35444973416272063</v>
      </c>
      <c r="H71" s="214">
        <f t="shared" si="9"/>
        <v>0.6475293465840304</v>
      </c>
      <c r="I71" s="214">
        <f t="shared" si="9"/>
        <v>0.7947429986926213</v>
      </c>
      <c r="J71" s="214">
        <f t="shared" si="9"/>
        <v>2.201590606546744</v>
      </c>
      <c r="K71" s="214">
        <f t="shared" si="9"/>
        <v>1.5496626811836167</v>
      </c>
      <c r="L71" s="214">
        <f t="shared" si="9"/>
        <v>2.022627113069775</v>
      </c>
      <c r="M71" s="214">
        <f t="shared" si="9"/>
        <v>1.0799136069114645</v>
      </c>
    </row>
    <row r="72" spans="1:13" ht="12.75">
      <c r="A72">
        <v>2002</v>
      </c>
      <c r="B72" s="210">
        <f t="shared" si="2"/>
        <v>1.782752902155882</v>
      </c>
      <c r="C72" s="214">
        <f t="shared" si="0"/>
        <v>1.2627291242362615</v>
      </c>
      <c r="D72" s="214">
        <f aca="true" t="shared" si="10" ref="D72:M72">((D53/C53)-1)*100</f>
        <v>1.2872083668543643</v>
      </c>
      <c r="E72" s="214">
        <f t="shared" si="10"/>
        <v>0.9073134966701479</v>
      </c>
      <c r="F72" s="214">
        <f t="shared" si="10"/>
        <v>0.9112651751385092</v>
      </c>
      <c r="G72" s="214">
        <f t="shared" si="10"/>
        <v>0.21900876035041428</v>
      </c>
      <c r="H72" s="214">
        <f t="shared" si="10"/>
        <v>0.6705582996557435</v>
      </c>
      <c r="I72" s="214">
        <f t="shared" si="10"/>
        <v>1.076451871896289</v>
      </c>
      <c r="J72" s="214">
        <f t="shared" si="10"/>
        <v>0.3853961342708434</v>
      </c>
      <c r="K72" s="214">
        <f t="shared" si="10"/>
        <v>1.441885000879184</v>
      </c>
      <c r="L72" s="214">
        <f t="shared" si="10"/>
        <v>1.539839371352647</v>
      </c>
      <c r="M72" s="214">
        <f t="shared" si="10"/>
        <v>0.5035991692036168</v>
      </c>
    </row>
    <row r="73" spans="1:13" ht="12.75">
      <c r="A73">
        <v>2003</v>
      </c>
      <c r="B73" s="210">
        <f t="shared" si="2"/>
        <v>2.409126939191486</v>
      </c>
      <c r="C73" s="214">
        <f t="shared" si="0"/>
        <v>0.06910850034553828</v>
      </c>
      <c r="D73" s="214">
        <f aca="true" t="shared" si="11" ref="D73:M74">((D54/C54)-1)*100</f>
        <v>0.49447513812155286</v>
      </c>
      <c r="E73" s="214">
        <f t="shared" si="11"/>
        <v>0.7696748123917629</v>
      </c>
      <c r="F73" s="214">
        <f t="shared" si="11"/>
        <v>0.5810305791211112</v>
      </c>
      <c r="G73" s="214">
        <f t="shared" si="11"/>
        <v>0.3335864612714179</v>
      </c>
      <c r="H73" s="214">
        <f t="shared" si="11"/>
        <v>0.31355588593053874</v>
      </c>
      <c r="I73" s="214">
        <f t="shared" si="11"/>
        <v>0.7248524696181757</v>
      </c>
      <c r="J73" s="214">
        <f t="shared" si="11"/>
        <v>0.7142857142857117</v>
      </c>
      <c r="K73" s="214">
        <f t="shared" si="11"/>
        <v>0.4117193933115493</v>
      </c>
      <c r="L73" s="214">
        <f t="shared" si="11"/>
        <v>0.07142479233903654</v>
      </c>
      <c r="M73" s="214">
        <f t="shared" si="11"/>
        <v>0.013217372914953174</v>
      </c>
    </row>
    <row r="74" spans="1:13" ht="12.75">
      <c r="A74">
        <v>2004</v>
      </c>
      <c r="B74" s="210">
        <f t="shared" si="2"/>
        <v>0.806153195538406</v>
      </c>
      <c r="C74" s="214">
        <f t="shared" si="0"/>
        <v>0.6922048297018701</v>
      </c>
      <c r="D74" s="214">
        <f t="shared" si="11"/>
        <v>0.40361430096607087</v>
      </c>
      <c r="E74" s="214">
        <f t="shared" si="11"/>
        <v>0.5212925981638028</v>
      </c>
      <c r="F74" s="214">
        <f t="shared" si="11"/>
        <v>0.2038236280605954</v>
      </c>
      <c r="G74" s="214">
        <f t="shared" si="11"/>
        <v>-0.15963746845872873</v>
      </c>
      <c r="H74" s="214">
        <f t="shared" si="11"/>
        <v>-0.2604703940581765</v>
      </c>
      <c r="I74" s="214">
        <f t="shared" si="11"/>
        <v>0.47058823529411153</v>
      </c>
      <c r="J74" s="214"/>
      <c r="K74" s="193"/>
      <c r="L74" s="193"/>
      <c r="M74" s="193"/>
    </row>
    <row r="78" spans="1:13" ht="12.75">
      <c r="A78" s="242"/>
      <c r="B78" s="193"/>
      <c r="C78" s="250" t="s">
        <v>351</v>
      </c>
      <c r="D78" s="250"/>
      <c r="E78" s="250"/>
      <c r="F78" s="250"/>
      <c r="G78" s="250"/>
      <c r="H78" s="250"/>
      <c r="I78" s="250"/>
      <c r="J78" s="250"/>
      <c r="K78" s="250"/>
      <c r="L78" s="250"/>
      <c r="M78" s="193"/>
    </row>
    <row r="79" spans="1:13" ht="12.75">
      <c r="A79" s="243"/>
      <c r="B79" s="215" t="s">
        <v>311</v>
      </c>
      <c r="C79" s="215" t="s">
        <v>312</v>
      </c>
      <c r="D79" s="215" t="s">
        <v>313</v>
      </c>
      <c r="E79" s="215" t="s">
        <v>314</v>
      </c>
      <c r="F79" s="215" t="s">
        <v>315</v>
      </c>
      <c r="G79" s="215" t="s">
        <v>316</v>
      </c>
      <c r="H79" s="215" t="s">
        <v>317</v>
      </c>
      <c r="I79" s="215" t="s">
        <v>318</v>
      </c>
      <c r="J79" s="215" t="s">
        <v>352</v>
      </c>
      <c r="K79" s="215" t="s">
        <v>319</v>
      </c>
      <c r="L79" s="215" t="s">
        <v>353</v>
      </c>
      <c r="M79" s="215" t="s">
        <v>354</v>
      </c>
    </row>
    <row r="80" spans="1:13" ht="12.75">
      <c r="A80" s="193">
        <v>1995</v>
      </c>
      <c r="B80" s="210">
        <f>((B46/B45)-1)*100</f>
        <v>15.278525621774364</v>
      </c>
      <c r="C80" s="210">
        <f>((C46/C45)-1)*100</f>
        <v>14.118196892965894</v>
      </c>
      <c r="D80" s="210">
        <f aca="true" t="shared" si="12" ref="D80:M80">((D46/D45)-1)*100</f>
        <v>9.978826162117805</v>
      </c>
      <c r="E80" s="210">
        <f t="shared" si="12"/>
        <v>11.8162853555984</v>
      </c>
      <c r="F80" s="210">
        <f t="shared" si="12"/>
        <v>12.024751863379436</v>
      </c>
      <c r="G80" s="210">
        <f t="shared" si="12"/>
        <v>11.188128911650574</v>
      </c>
      <c r="H80" s="210">
        <f t="shared" si="12"/>
        <v>7.780704470757827</v>
      </c>
      <c r="I80" s="210">
        <f t="shared" si="12"/>
        <v>8.200057668005378</v>
      </c>
      <c r="J80" s="210">
        <f t="shared" si="12"/>
        <v>10.759273862855823</v>
      </c>
      <c r="K80" s="210">
        <f t="shared" si="12"/>
        <v>10.333022591649321</v>
      </c>
      <c r="L80" s="210">
        <f t="shared" si="12"/>
        <v>8.550738545178294</v>
      </c>
      <c r="M80" s="210">
        <f t="shared" si="12"/>
        <v>2.265504542873975</v>
      </c>
    </row>
    <row r="81" spans="1:13" ht="12.75">
      <c r="A81" s="193">
        <v>1996</v>
      </c>
      <c r="B81" s="210">
        <f aca="true" t="shared" si="13" ref="B81:M89">((B47/B46)-1)*100</f>
        <v>-0.79051323132181</v>
      </c>
      <c r="C81" s="210">
        <f t="shared" si="13"/>
        <v>2.253723667362939</v>
      </c>
      <c r="D81" s="210">
        <f t="shared" si="13"/>
        <v>3.7602247673608202</v>
      </c>
      <c r="E81" s="210">
        <f t="shared" si="13"/>
        <v>1.7326608825417589</v>
      </c>
      <c r="F81" s="210">
        <f t="shared" si="13"/>
        <v>0.7924290466956085</v>
      </c>
      <c r="G81" s="210">
        <f t="shared" si="13"/>
        <v>0.896604480541785</v>
      </c>
      <c r="H81" s="210">
        <f t="shared" si="13"/>
        <v>4.45561451844001</v>
      </c>
      <c r="I81" s="210">
        <f t="shared" si="13"/>
        <v>4.640736157556913</v>
      </c>
      <c r="J81" s="210">
        <f t="shared" si="13"/>
        <v>1.7042418938924664</v>
      </c>
      <c r="K81" s="210">
        <f t="shared" si="13"/>
        <v>3.135591696827844</v>
      </c>
      <c r="L81" s="210">
        <f t="shared" si="13"/>
        <v>3.969325197564455</v>
      </c>
      <c r="M81" s="210">
        <f t="shared" si="13"/>
        <v>6.006629104120265</v>
      </c>
    </row>
    <row r="82" spans="1:13" ht="12.75">
      <c r="A82" s="193">
        <v>1997</v>
      </c>
      <c r="B82" s="210">
        <f t="shared" si="13"/>
        <v>5.9273433193597125</v>
      </c>
      <c r="C82" s="210">
        <f t="shared" si="13"/>
        <v>4.945983564186651</v>
      </c>
      <c r="D82" s="210">
        <f t="shared" si="13"/>
        <v>3.314694106693006</v>
      </c>
      <c r="E82" s="210">
        <f t="shared" si="13"/>
        <v>5.1287552691900995</v>
      </c>
      <c r="F82" s="210">
        <f t="shared" si="13"/>
        <v>4.9563019590104895</v>
      </c>
      <c r="G82" s="210">
        <f t="shared" si="13"/>
        <v>4.1736309887066225</v>
      </c>
      <c r="H82" s="210">
        <f t="shared" si="13"/>
        <v>3.876538930494511</v>
      </c>
      <c r="I82" s="210">
        <f t="shared" si="13"/>
        <v>3.0804579717784275</v>
      </c>
      <c r="J82" s="210">
        <f t="shared" si="13"/>
        <v>4.079021904043123</v>
      </c>
      <c r="K82" s="210">
        <f t="shared" si="13"/>
        <v>3.3696900069349445</v>
      </c>
      <c r="L82" s="210">
        <f t="shared" si="13"/>
        <v>2.7801402360284833</v>
      </c>
      <c r="M82" s="210">
        <f t="shared" si="13"/>
        <v>4.358032296463477</v>
      </c>
    </row>
    <row r="83" spans="1:13" ht="12.75">
      <c r="A83" s="193">
        <v>1998</v>
      </c>
      <c r="B83" s="210">
        <f t="shared" si="13"/>
        <v>3.9313356134380806</v>
      </c>
      <c r="C83" s="210">
        <f t="shared" si="13"/>
        <v>2.4351741605137756</v>
      </c>
      <c r="D83" s="210">
        <f t="shared" si="13"/>
        <v>3.9440371551038744</v>
      </c>
      <c r="E83" s="210">
        <f t="shared" si="13"/>
        <v>3.36214643190782</v>
      </c>
      <c r="F83" s="210">
        <f t="shared" si="13"/>
        <v>-0.18019401356929032</v>
      </c>
      <c r="G83" s="210">
        <f t="shared" si="13"/>
        <v>0.011749038995523264</v>
      </c>
      <c r="H83" s="210">
        <f t="shared" si="13"/>
        <v>-1.1487183774630316</v>
      </c>
      <c r="I83" s="210">
        <f t="shared" si="13"/>
        <v>-0.435008957074301</v>
      </c>
      <c r="J83" s="210">
        <f t="shared" si="13"/>
        <v>0.49797090016119316</v>
      </c>
      <c r="K83" s="210">
        <f t="shared" si="13"/>
        <v>-6.534083369167398</v>
      </c>
      <c r="L83" s="210">
        <f t="shared" si="13"/>
        <v>-12.751612847187666</v>
      </c>
      <c r="M83" s="210">
        <f t="shared" si="13"/>
        <v>-7.579049015116568</v>
      </c>
    </row>
    <row r="84" spans="1:13" ht="12.75">
      <c r="A84" s="193">
        <v>1999</v>
      </c>
      <c r="B84" s="210">
        <f t="shared" si="13"/>
        <v>-8.240333221174135</v>
      </c>
      <c r="C84" s="210">
        <f t="shared" si="13"/>
        <v>-11.413655615735596</v>
      </c>
      <c r="D84" s="210">
        <f t="shared" si="13"/>
        <v>-15.890700591334427</v>
      </c>
      <c r="E84" s="210">
        <f t="shared" si="13"/>
        <v>-28.9410858736326</v>
      </c>
      <c r="F84" s="210">
        <f t="shared" si="13"/>
        <v>-12.961215180497343</v>
      </c>
      <c r="G84" s="210">
        <f t="shared" si="13"/>
        <v>-14.19449522836026</v>
      </c>
      <c r="H84" s="210">
        <f t="shared" si="13"/>
        <v>-28.286767950741197</v>
      </c>
      <c r="I84" s="210">
        <f t="shared" si="13"/>
        <v>-29.52269303282573</v>
      </c>
      <c r="J84" s="210">
        <f t="shared" si="13"/>
        <v>-25.604546633433422</v>
      </c>
      <c r="K84" s="210">
        <f t="shared" si="13"/>
        <v>-30.394825100251865</v>
      </c>
      <c r="L84" s="210">
        <f t="shared" si="13"/>
        <v>-36.145508599389174</v>
      </c>
      <c r="M84" s="210">
        <f t="shared" si="13"/>
        <v>-40.23598503715209</v>
      </c>
    </row>
    <row r="85" spans="1:13" ht="12.75">
      <c r="A85" s="193">
        <v>2000</v>
      </c>
      <c r="B85" s="210">
        <f t="shared" si="13"/>
        <v>-39.72640347550076</v>
      </c>
      <c r="C85" s="210">
        <f t="shared" si="13"/>
        <v>-45.67537028134123</v>
      </c>
      <c r="D85" s="210">
        <f t="shared" si="13"/>
        <v>-37.76148363793196</v>
      </c>
      <c r="E85" s="210">
        <f t="shared" si="13"/>
        <v>-17.124469898488282</v>
      </c>
      <c r="F85" s="210">
        <f t="shared" si="13"/>
        <v>-25.044363330213503</v>
      </c>
      <c r="G85" s="214">
        <f t="shared" si="13"/>
        <v>-20.10991981093366</v>
      </c>
      <c r="H85" s="214">
        <f t="shared" si="13"/>
        <v>-20.946386975525755</v>
      </c>
      <c r="I85" s="214">
        <f t="shared" si="13"/>
        <v>-19.032337170194914</v>
      </c>
      <c r="J85" s="214">
        <f t="shared" si="13"/>
        <v>-21.28032990031984</v>
      </c>
      <c r="K85" s="214">
        <f t="shared" si="13"/>
        <v>-8.741486531610166</v>
      </c>
      <c r="L85" s="214">
        <f t="shared" si="13"/>
        <v>8.52360011616502</v>
      </c>
      <c r="M85" s="214">
        <f t="shared" si="13"/>
        <v>12.187138807834108</v>
      </c>
    </row>
    <row r="86" spans="1:13" ht="12.75">
      <c r="A86" s="193">
        <v>2001</v>
      </c>
      <c r="B86" s="214">
        <f t="shared" si="13"/>
        <v>19.59612347767048</v>
      </c>
      <c r="C86" s="214">
        <f t="shared" si="13"/>
        <v>41.38719954075858</v>
      </c>
      <c r="D86" s="214">
        <f t="shared" si="13"/>
        <v>31.092733685422825</v>
      </c>
      <c r="E86" s="214">
        <f t="shared" si="13"/>
        <v>17.62929802651927</v>
      </c>
      <c r="F86" s="214">
        <f t="shared" si="13"/>
        <v>10.367427613971048</v>
      </c>
      <c r="G86" s="214">
        <f t="shared" si="13"/>
        <v>5.106274566894764</v>
      </c>
      <c r="H86" s="214">
        <f t="shared" si="13"/>
        <v>28.389063121162607</v>
      </c>
      <c r="I86" s="214">
        <f t="shared" si="13"/>
        <v>27.67802667131527</v>
      </c>
      <c r="J86" s="214">
        <f t="shared" si="13"/>
        <v>25.671223152188105</v>
      </c>
      <c r="K86" s="214">
        <f t="shared" si="13"/>
        <v>24.527992791907295</v>
      </c>
      <c r="L86" s="214">
        <f t="shared" si="13"/>
        <v>25.03426037887948</v>
      </c>
      <c r="M86" s="214">
        <f t="shared" si="13"/>
        <v>23.97105918633613</v>
      </c>
    </row>
    <row r="87" spans="1:13" ht="12.75">
      <c r="A87" s="193">
        <v>2002</v>
      </c>
      <c r="B87" s="214">
        <f t="shared" si="13"/>
        <v>18.304481595433142</v>
      </c>
      <c r="C87" s="214">
        <f t="shared" si="13"/>
        <v>16.24343572404865</v>
      </c>
      <c r="D87" s="214">
        <f t="shared" si="13"/>
        <v>15.15919085312225</v>
      </c>
      <c r="E87" s="214">
        <f t="shared" si="13"/>
        <v>14.51204714855261</v>
      </c>
      <c r="F87" s="214">
        <f t="shared" si="13"/>
        <v>15.828613128540159</v>
      </c>
      <c r="G87" s="214">
        <f t="shared" si="13"/>
        <v>15.672287821600461</v>
      </c>
      <c r="H87" s="214">
        <f t="shared" si="13"/>
        <v>15.6987545585908</v>
      </c>
      <c r="I87" s="214">
        <f t="shared" si="13"/>
        <v>16.022118305628563</v>
      </c>
      <c r="J87" s="214">
        <f t="shared" si="13"/>
        <v>13.960323291697275</v>
      </c>
      <c r="K87" s="214">
        <f t="shared" si="13"/>
        <v>13.839373807801092</v>
      </c>
      <c r="L87" s="214">
        <f t="shared" si="13"/>
        <v>13.300667289900403</v>
      </c>
      <c r="M87" s="214">
        <f t="shared" si="13"/>
        <v>12.654675341242516</v>
      </c>
    </row>
    <row r="88" spans="1:13" ht="12.75">
      <c r="A88" s="193">
        <v>2003</v>
      </c>
      <c r="B88" s="214">
        <f t="shared" si="13"/>
        <v>13.34795550681498</v>
      </c>
      <c r="C88" s="214">
        <f t="shared" si="13"/>
        <v>12.011881923386337</v>
      </c>
      <c r="D88" s="214">
        <f t="shared" si="13"/>
        <v>11.135211095497045</v>
      </c>
      <c r="E88" s="214">
        <f t="shared" si="13"/>
        <v>10.98362144651992</v>
      </c>
      <c r="F88" s="214">
        <f t="shared" si="13"/>
        <v>10.62042481699268</v>
      </c>
      <c r="G88" s="214">
        <f t="shared" si="13"/>
        <v>10.746894177518328</v>
      </c>
      <c r="H88" s="214">
        <f t="shared" si="13"/>
        <v>10.354158613101783</v>
      </c>
      <c r="I88" s="214">
        <f t="shared" si="13"/>
        <v>9.970286252243232</v>
      </c>
      <c r="J88" s="214">
        <f t="shared" si="13"/>
        <v>10.330578512396693</v>
      </c>
      <c r="K88" s="214">
        <f t="shared" si="13"/>
        <v>9.210146183625124</v>
      </c>
      <c r="L88" s="214">
        <f t="shared" si="13"/>
        <v>7.630807750305846</v>
      </c>
      <c r="M88" s="214">
        <f t="shared" si="13"/>
        <v>7.10565054920167</v>
      </c>
    </row>
    <row r="89" spans="1:13" ht="12.75">
      <c r="A89" s="193">
        <v>2004</v>
      </c>
      <c r="B89" s="214">
        <f t="shared" si="13"/>
        <v>5.429163787145819</v>
      </c>
      <c r="C89" s="214">
        <f t="shared" si="13"/>
        <v>6.085635359116015</v>
      </c>
      <c r="D89" s="214">
        <f t="shared" si="13"/>
        <v>5.989719343577327</v>
      </c>
      <c r="E89" s="214">
        <f t="shared" si="13"/>
        <v>5.728470498376925</v>
      </c>
      <c r="F89" s="214">
        <f t="shared" si="13"/>
        <v>5.331959210240833</v>
      </c>
      <c r="G89" s="214">
        <f t="shared" si="13"/>
        <v>4.814164076226524</v>
      </c>
      <c r="H89" s="214">
        <f t="shared" si="13"/>
        <v>4.214383875400829</v>
      </c>
      <c r="I89" s="214">
        <f t="shared" si="13"/>
        <v>3.9513108614232184</v>
      </c>
      <c r="J89" s="214"/>
      <c r="K89" s="214"/>
      <c r="L89" s="214"/>
      <c r="M89" s="214"/>
    </row>
  </sheetData>
  <sheetProtection/>
  <mergeCells count="6">
    <mergeCell ref="A78:A79"/>
    <mergeCell ref="A62:A63"/>
    <mergeCell ref="C62:L62"/>
    <mergeCell ref="C2:L2"/>
    <mergeCell ref="C30:L30"/>
    <mergeCell ref="C78:L78"/>
  </mergeCells>
  <printOptions horizontalCentered="1" verticalCentered="1"/>
  <pageMargins left="0.75" right="0.75" top="0.7874015748031497" bottom="0.7874015748031497" header="0.5905511811023623" footer="0.5905511811023623"/>
  <pageSetup horizontalDpi="600" verticalDpi="600" orientation="landscape" paperSize="9" r:id="rId1"/>
  <headerFooter alignWithMargins="0">
    <oddHeader>&amp;L&amp;8INSTITUTO NACIONAL DE ESTADISTIA Y CENSOS&amp;C__________________________________________________________________________________________&amp;R&amp;8COSTO CANASTA FAMILIAR BASICA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7.8515625" style="0" customWidth="1"/>
  </cols>
  <sheetData>
    <row r="2" spans="2:13" ht="12.75">
      <c r="B2" s="199"/>
      <c r="C2" s="249" t="s">
        <v>355</v>
      </c>
      <c r="D2" s="249"/>
      <c r="E2" s="249"/>
      <c r="F2" s="249"/>
      <c r="G2" s="249"/>
      <c r="H2" s="249"/>
      <c r="I2" s="249"/>
      <c r="J2" s="249"/>
      <c r="K2" s="249"/>
      <c r="L2" s="249"/>
      <c r="M2" s="198"/>
    </row>
    <row r="3" spans="2:13" ht="12.75">
      <c r="B3" s="41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41"/>
    </row>
    <row r="4" spans="1:13" ht="12.75">
      <c r="A4" s="186" t="s">
        <v>309</v>
      </c>
      <c r="B4" s="194" t="s">
        <v>311</v>
      </c>
      <c r="C4" s="194" t="s">
        <v>312</v>
      </c>
      <c r="D4" s="194" t="s">
        <v>313</v>
      </c>
      <c r="E4" s="194" t="s">
        <v>314</v>
      </c>
      <c r="F4" s="194" t="s">
        <v>315</v>
      </c>
      <c r="G4" s="194" t="s">
        <v>316</v>
      </c>
      <c r="H4" s="194" t="s">
        <v>317</v>
      </c>
      <c r="I4" s="194" t="s">
        <v>318</v>
      </c>
      <c r="J4" s="194" t="s">
        <v>320</v>
      </c>
      <c r="K4" s="194" t="s">
        <v>319</v>
      </c>
      <c r="L4" s="194" t="s">
        <v>321</v>
      </c>
      <c r="M4" s="194" t="s">
        <v>322</v>
      </c>
    </row>
    <row r="5" spans="1:13" ht="12.75">
      <c r="A5" s="20" t="s">
        <v>310</v>
      </c>
      <c r="B5" s="195"/>
      <c r="C5" s="195"/>
      <c r="D5" s="195"/>
      <c r="E5" s="195"/>
      <c r="F5" s="195"/>
      <c r="G5" s="193"/>
      <c r="H5" s="193"/>
      <c r="I5" s="193"/>
      <c r="J5" s="195"/>
      <c r="K5" s="195"/>
      <c r="L5" s="195"/>
      <c r="M5" s="195"/>
    </row>
    <row r="6" spans="1:13" ht="12.75">
      <c r="A6">
        <v>1992</v>
      </c>
      <c r="B6" s="201"/>
      <c r="C6" s="201"/>
      <c r="D6" s="201"/>
      <c r="E6" s="201"/>
      <c r="F6" s="201"/>
      <c r="G6" s="202"/>
      <c r="H6" s="201"/>
      <c r="I6" s="201"/>
      <c r="J6" s="201"/>
      <c r="K6" s="201"/>
      <c r="L6" s="201"/>
      <c r="M6" s="203">
        <v>207968.61</v>
      </c>
    </row>
    <row r="7" spans="1:13" ht="12.75">
      <c r="A7">
        <v>1993</v>
      </c>
      <c r="B7" s="217">
        <v>215069.54</v>
      </c>
      <c r="C7" s="203">
        <v>220242.63</v>
      </c>
      <c r="D7" s="203">
        <v>225131.64</v>
      </c>
      <c r="E7" s="203">
        <v>231761.67</v>
      </c>
      <c r="F7" s="203">
        <v>237208.88</v>
      </c>
      <c r="G7" s="203">
        <v>245370.04</v>
      </c>
      <c r="H7" s="203">
        <v>250509.35</v>
      </c>
      <c r="I7" s="203">
        <v>254060.91</v>
      </c>
      <c r="J7" s="203">
        <v>260889.13</v>
      </c>
      <c r="K7" s="203">
        <v>271181.06</v>
      </c>
      <c r="L7" s="203">
        <v>275275.76</v>
      </c>
      <c r="M7" s="203">
        <v>276856.59</v>
      </c>
    </row>
    <row r="8" spans="1:13" ht="12.75">
      <c r="A8">
        <v>1994</v>
      </c>
      <c r="B8" s="203">
        <v>287251.46</v>
      </c>
      <c r="C8" s="203">
        <v>295223.46</v>
      </c>
      <c r="D8" s="203">
        <v>303882.54</v>
      </c>
      <c r="E8" s="204">
        <v>314116.85</v>
      </c>
      <c r="F8" s="204">
        <v>319028.81</v>
      </c>
      <c r="G8" s="204">
        <v>324996.82</v>
      </c>
      <c r="H8" s="204">
        <v>330405.33</v>
      </c>
      <c r="I8" s="204">
        <v>335226.9</v>
      </c>
      <c r="J8" s="204">
        <v>341249.29</v>
      </c>
      <c r="K8" s="204">
        <v>347395.38</v>
      </c>
      <c r="L8" s="204">
        <v>353051.84</v>
      </c>
      <c r="M8" s="205">
        <v>359985.49</v>
      </c>
    </row>
    <row r="9" spans="1:13" ht="12.75">
      <c r="A9">
        <v>1995</v>
      </c>
      <c r="B9" s="205">
        <v>377226.17</v>
      </c>
      <c r="C9" s="205">
        <v>382600.51</v>
      </c>
      <c r="D9" s="205">
        <v>390324.09</v>
      </c>
      <c r="E9" s="205">
        <v>398637.99</v>
      </c>
      <c r="F9" s="205">
        <v>404694.93</v>
      </c>
      <c r="G9" s="205">
        <v>409976.78</v>
      </c>
      <c r="H9" s="205">
        <v>414429.5</v>
      </c>
      <c r="I9" s="205">
        <v>419046.77</v>
      </c>
      <c r="J9" s="205">
        <v>433794.73</v>
      </c>
      <c r="K9" s="205">
        <v>442726.61</v>
      </c>
      <c r="L9" s="205">
        <v>449527</v>
      </c>
      <c r="M9" s="205">
        <v>456963</v>
      </c>
    </row>
    <row r="10" spans="1:13" ht="12.75">
      <c r="A10">
        <v>1996</v>
      </c>
      <c r="B10" s="205">
        <v>468532</v>
      </c>
      <c r="C10" s="205">
        <v>484249</v>
      </c>
      <c r="D10" s="205">
        <v>497703</v>
      </c>
      <c r="E10" s="205">
        <v>509514</v>
      </c>
      <c r="F10" s="205">
        <v>511173</v>
      </c>
      <c r="G10" s="205">
        <v>519219</v>
      </c>
      <c r="H10" s="205">
        <v>530254</v>
      </c>
      <c r="I10" s="205">
        <v>542387</v>
      </c>
      <c r="J10" s="205">
        <v>555064</v>
      </c>
      <c r="K10" s="205">
        <v>570760</v>
      </c>
      <c r="L10" s="205">
        <v>579442</v>
      </c>
      <c r="M10" s="205">
        <v>591176</v>
      </c>
    </row>
    <row r="11" spans="1:13" ht="12.75">
      <c r="A11">
        <v>1997</v>
      </c>
      <c r="B11" s="205">
        <v>641468</v>
      </c>
      <c r="C11" s="205">
        <v>660399</v>
      </c>
      <c r="D11" s="205">
        <v>666432</v>
      </c>
      <c r="E11" s="205">
        <v>682637</v>
      </c>
      <c r="F11" s="205">
        <v>689870</v>
      </c>
      <c r="G11" s="205">
        <v>698981</v>
      </c>
      <c r="H11" s="205">
        <v>716584</v>
      </c>
      <c r="I11" s="205">
        <v>729039</v>
      </c>
      <c r="J11" s="205">
        <v>743440</v>
      </c>
      <c r="K11" s="205">
        <v>762458</v>
      </c>
      <c r="L11" s="205">
        <v>754072</v>
      </c>
      <c r="M11" s="205">
        <v>764800</v>
      </c>
    </row>
    <row r="12" spans="1:13" ht="12.75">
      <c r="A12">
        <v>1998</v>
      </c>
      <c r="B12" s="205">
        <v>789935</v>
      </c>
      <c r="C12" s="205">
        <v>802246</v>
      </c>
      <c r="D12" s="205">
        <v>819917</v>
      </c>
      <c r="E12" s="205">
        <v>865666</v>
      </c>
      <c r="F12" s="205">
        <v>885865</v>
      </c>
      <c r="G12" s="205">
        <v>929528</v>
      </c>
      <c r="H12" s="205">
        <v>929234</v>
      </c>
      <c r="I12" s="205">
        <v>940489</v>
      </c>
      <c r="J12" s="205">
        <v>1002420</v>
      </c>
      <c r="K12" s="205">
        <v>1064572</v>
      </c>
      <c r="L12" s="205">
        <v>1092235</v>
      </c>
      <c r="M12" s="205">
        <v>1102208</v>
      </c>
    </row>
    <row r="13" spans="1:13" ht="12.75">
      <c r="A13">
        <v>1999</v>
      </c>
      <c r="B13" s="205">
        <v>1140969</v>
      </c>
      <c r="C13" s="205">
        <v>1176697</v>
      </c>
      <c r="D13" s="205">
        <v>1293050</v>
      </c>
      <c r="E13" s="205">
        <v>1386524</v>
      </c>
      <c r="F13" s="205">
        <v>1413659</v>
      </c>
      <c r="G13" s="205">
        <v>1423280</v>
      </c>
      <c r="H13" s="205">
        <v>1457622</v>
      </c>
      <c r="I13" s="205">
        <v>1456104</v>
      </c>
      <c r="J13" s="205">
        <v>1472150</v>
      </c>
      <c r="K13" s="205">
        <v>1506420</v>
      </c>
      <c r="L13" s="205">
        <v>1592009</v>
      </c>
      <c r="M13" s="205">
        <v>1694738</v>
      </c>
    </row>
    <row r="14" spans="1:13" ht="12.75">
      <c r="A14">
        <v>2000</v>
      </c>
      <c r="B14" s="205">
        <v>1892060</v>
      </c>
      <c r="C14" s="205">
        <v>2083892</v>
      </c>
      <c r="D14" s="205">
        <v>2301529</v>
      </c>
      <c r="E14" s="205">
        <v>2680053</v>
      </c>
      <c r="F14" s="189">
        <v>112.45</v>
      </c>
      <c r="G14" s="190">
        <v>118.74</v>
      </c>
      <c r="H14" s="190">
        <v>167.93</v>
      </c>
      <c r="I14" s="190">
        <v>169.29</v>
      </c>
      <c r="J14" s="190">
        <v>175.23</v>
      </c>
      <c r="K14" s="190">
        <v>179.07</v>
      </c>
      <c r="L14" s="190">
        <v>181.95</v>
      </c>
      <c r="M14" s="190">
        <v>186.28</v>
      </c>
    </row>
    <row r="15" spans="1:13" ht="12.75">
      <c r="A15">
        <v>2001</v>
      </c>
      <c r="B15" s="190">
        <v>202.49</v>
      </c>
      <c r="C15" s="190">
        <v>210.12</v>
      </c>
      <c r="D15" s="190">
        <v>214.92</v>
      </c>
      <c r="E15" s="191">
        <v>218.84</v>
      </c>
      <c r="F15" s="191">
        <v>218.17</v>
      </c>
      <c r="G15" s="191">
        <v>218.98</v>
      </c>
      <c r="H15" s="191">
        <v>219.35</v>
      </c>
      <c r="I15" s="191">
        <v>221.14</v>
      </c>
      <c r="J15" s="191">
        <v>226.26</v>
      </c>
      <c r="K15" s="191">
        <v>229.2</v>
      </c>
      <c r="L15" s="191">
        <v>235.29</v>
      </c>
      <c r="M15" s="191">
        <v>238.4</v>
      </c>
    </row>
    <row r="16" spans="1:13" ht="12.75">
      <c r="A16">
        <v>2002</v>
      </c>
      <c r="B16" s="191">
        <v>242.91</v>
      </c>
      <c r="C16" s="191">
        <v>245.43</v>
      </c>
      <c r="D16" s="191">
        <v>248.38</v>
      </c>
      <c r="E16" s="191">
        <v>250.99</v>
      </c>
      <c r="F16" s="191">
        <v>252.71</v>
      </c>
      <c r="G16" s="191">
        <v>252.79</v>
      </c>
      <c r="H16" s="191">
        <v>254.63</v>
      </c>
      <c r="I16" s="191">
        <v>256.54</v>
      </c>
      <c r="J16" s="191">
        <v>257.13</v>
      </c>
      <c r="K16" s="191">
        <v>261.59</v>
      </c>
      <c r="L16" s="191">
        <v>266.29</v>
      </c>
      <c r="M16" s="191">
        <v>268.04</v>
      </c>
    </row>
    <row r="17" spans="1:13" ht="12.75">
      <c r="A17">
        <v>2003</v>
      </c>
      <c r="B17" s="191">
        <v>275.86</v>
      </c>
      <c r="C17" s="191">
        <v>253.1</v>
      </c>
      <c r="D17" s="191">
        <v>254.39</v>
      </c>
      <c r="E17" s="191">
        <v>256.61</v>
      </c>
      <c r="F17" s="191">
        <v>257.15</v>
      </c>
      <c r="G17" s="191">
        <v>257.93</v>
      </c>
      <c r="H17" s="191">
        <v>258.58</v>
      </c>
      <c r="I17" s="191">
        <v>260.87</v>
      </c>
      <c r="J17" s="191">
        <v>262.66</v>
      </c>
      <c r="K17" s="191">
        <v>263.78</v>
      </c>
      <c r="L17" s="191">
        <v>264.54</v>
      </c>
      <c r="M17" s="191">
        <v>264.7</v>
      </c>
    </row>
    <row r="18" spans="1:13" ht="12.75">
      <c r="A18">
        <v>2004</v>
      </c>
      <c r="B18" s="191">
        <v>267.2</v>
      </c>
      <c r="C18" s="191">
        <v>269.15</v>
      </c>
      <c r="D18" s="191">
        <v>270.14</v>
      </c>
      <c r="E18" s="192">
        <v>271.71</v>
      </c>
      <c r="F18" s="192">
        <v>271.42</v>
      </c>
      <c r="G18" s="192">
        <v>271.03</v>
      </c>
      <c r="H18" s="192">
        <v>269.42</v>
      </c>
      <c r="I18" s="192">
        <v>269.49</v>
      </c>
      <c r="J18" s="192">
        <v>270.21</v>
      </c>
      <c r="K18" s="192">
        <v>271.16</v>
      </c>
      <c r="L18" s="192">
        <v>272.54</v>
      </c>
      <c r="M18" s="192"/>
    </row>
    <row r="20" ht="12.75">
      <c r="B20" s="188"/>
    </row>
  </sheetData>
  <sheetProtection/>
  <mergeCells count="1">
    <mergeCell ref="C2:L2"/>
  </mergeCells>
  <printOptions horizontalCentered="1" verticalCentered="1"/>
  <pageMargins left="0.75" right="0.75" top="0.7874015748031497" bottom="0.7874015748031497" header="0.5905511811023623" footer="0.5905511811023623"/>
  <pageSetup horizontalDpi="600" verticalDpi="600" orientation="landscape" paperSize="9" r:id="rId1"/>
  <headerFooter alignWithMargins="0">
    <oddHeader>&amp;L&amp;8INSTITUTO NACIONAL DE ESTADISTICA Y CENSOS&amp;C_______________________________________________________________________________________&amp;R&amp;8COSTO CANASTA FAMILIAR BASICA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ESPIN</dc:creator>
  <cp:keywords/>
  <dc:description/>
  <cp:lastModifiedBy>INEC Corazón Vera</cp:lastModifiedBy>
  <cp:lastPrinted>2007-06-29T19:19:25Z</cp:lastPrinted>
  <dcterms:created xsi:type="dcterms:W3CDTF">1997-11-27T14:15:43Z</dcterms:created>
  <dcterms:modified xsi:type="dcterms:W3CDTF">2014-03-07T22:09:28Z</dcterms:modified>
  <cp:category/>
  <cp:version/>
  <cp:contentType/>
  <cp:contentStatus/>
</cp:coreProperties>
</file>