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3" activeTab="3"/>
  </bookViews>
  <sheets>
    <sheet name="No.Miembros" sheetId="1" state="hidden" r:id="rId1"/>
    <sheet name="ponderacion" sheetId="2" state="hidden" r:id="rId2"/>
    <sheet name="PRECIOS" sheetId="3" state="hidden" r:id="rId3"/>
    <sheet name="NACIONAL" sheetId="4" r:id="rId4"/>
    <sheet name="Hist.Can.Fam.Bas." sheetId="5" state="hidden" r:id="rId5"/>
    <sheet name="Hist.Can.Fam.Pob.Vit." sheetId="6" state="hidden" r:id="rId6"/>
  </sheets>
  <definedNames>
    <definedName name="_xlnm.Print_Area" localSheetId="4">'Hist.Can.Fam.Bas.'!$A$30:$M$56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<sst xmlns="http://schemas.openxmlformats.org/spreadsheetml/2006/main" count="829" uniqueCount="366">
  <si>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</si>
  <si>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</si>
  <si>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</si>
  <si>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</si>
  <si>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</si>
  <si>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</si>
  <si>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</si>
  <si>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</si>
  <si>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</si>
  <si>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</si>
  <si>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</si>
  <si>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</si>
  <si>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</si>
  <si>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</si>
  <si>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</si>
  <si>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</si>
  <si>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</si>
  <si>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</si>
  <si>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</si>
  <si>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</si>
  <si>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</si>
  <si>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</si>
  <si>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</si>
  <si>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</si>
  <si>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</si>
  <si>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</si>
  <si>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</si>
  <si>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</si>
  <si>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</si>
  <si>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</si>
  <si>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</si>
  <si>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</si>
  <si>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</si>
  <si>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</si>
  <si>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</si>
  <si>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</si>
  <si>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</si>
  <si>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</si>
  <si>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</si>
  <si>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</si>
  <si>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</si>
  <si>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</si>
  <si>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</si>
  <si>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ALQUILER (Departamento)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</si>
  <si>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</si>
  <si>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</si>
  <si>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</si>
  <si>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</si>
  <si>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</si>
  <si>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</si>
  <si>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</si>
  <si>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</si>
  <si>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</si>
  <si>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</si>
  <si>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</si>
  <si>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</si>
  <si>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</si>
  <si>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</si>
  <si>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</si>
  <si>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</si>
  <si>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</si>
  <si>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</si>
  <si>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</si>
  <si>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</si>
  <si>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</si>
  <si>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</si>
  <si>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</si>
  <si>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</si>
  <si>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</si>
  <si>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</si>
  <si>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</si>
  <si>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</si>
  <si>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</si>
  <si>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</si>
  <si>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</si>
  <si>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</si>
  <si>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</si>
  <si>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</si>
  <si>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</si>
  <si>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</si>
  <si>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</si>
  <si>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</si>
  <si>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</si>
  <si>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</si>
  <si>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</si>
  <si>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</si>
  <si>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</si>
  <si>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</si>
  <si>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</si>
  <si>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</si>
  <si>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</si>
  <si>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</si>
  <si>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</si>
  <si>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</si>
  <si>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</si>
  <si>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</si>
  <si>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</si>
  <si>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</si>
  <si>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</si>
  <si>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</si>
  <si>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</si>
  <si>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</si>
  <si>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</si>
  <si>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</si>
  <si>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</si>
  <si>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</si>
  <si>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</si>
  <si>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</si>
  <si>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</si>
  <si>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</si>
  <si>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</si>
  <si>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</si>
  <si>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</si>
  <si>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</si>
  <si>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</si>
  <si>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</si>
  <si>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</si>
  <si>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</si>
  <si>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</si>
  <si>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</si>
  <si>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</si>
  <si>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</si>
  <si>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</si>
  <si>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</si>
  <si>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</si>
  <si>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</si>
  <si>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</si>
  <si>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</si>
  <si>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</si>
  <si>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</si>
  <si>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</si>
  <si>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</si>
  <si>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</si>
  <si>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</si>
  <si>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</si>
  <si>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</si>
  <si>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</si>
  <si>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</si>
  <si>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</si>
  <si>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</si>
  <si>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</si>
  <si>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</si>
  <si>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</si>
  <si>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</si>
  <si>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</si>
  <si>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</si>
  <si>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</si>
  <si>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</si>
  <si>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</si>
  <si>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</si>
  <si>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</si>
  <si>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</si>
  <si>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</si>
  <si>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</si>
  <si>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</si>
  <si>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</si>
  <si>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</si>
  <si>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</si>
  <si>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</si>
  <si>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</si>
  <si>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</si>
  <si>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</si>
  <si>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</si>
  <si>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</si>
  <si>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</si>
  <si>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</si>
  <si>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</si>
  <si>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</si>
  <si>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</si>
  <si>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</si>
  <si>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</si>
  <si>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</si>
  <si>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</si>
  <si>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</si>
  <si>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</si>
  <si>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</si>
  <si>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</si>
  <si>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</si>
  <si>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</si>
  <si>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</si>
  <si>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</si>
  <si>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</si>
  <si>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</si>
  <si>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</si>
  <si>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</si>
  <si>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</si>
  <si>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</si>
  <si>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</si>
  <si>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</si>
  <si>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</si>
  <si>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</si>
  <si>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</si>
  <si>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</si>
  <si>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</si>
  <si>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</si>
  <si>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</si>
  <si>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</si>
  <si>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</si>
  <si>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</si>
  <si>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</si>
  <si>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</si>
  <si>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</si>
  <si>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</si>
  <si>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</si>
  <si>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</si>
  <si>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</si>
  <si>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</si>
  <si>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</si>
  <si>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</si>
  <si>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</si>
  <si>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</si>
  <si>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</si>
  <si>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</si>
  <si>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</si>
  <si>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</si>
  <si>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</si>
  <si>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</si>
  <si>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</si>
  <si>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</si>
  <si>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</si>
  <si>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</si>
  <si>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</si>
  <si>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</si>
  <si>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AZUCAR, SAL Y CONDIMENTOS</t>
  </si>
  <si>
    <t>SERVICIO DE LIMPIEZA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</si>
  <si>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</si>
  <si>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</si>
  <si>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</si>
  <si>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</si>
  <si>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</si>
  <si>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</si>
  <si>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</si>
  <si>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</si>
  <si>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</si>
  <si>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</si>
  <si>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</si>
  <si>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</si>
  <si>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</si>
  <si>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</si>
  <si>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</si>
  <si>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</si>
  <si>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</si>
  <si>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</si>
  <si>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</si>
  <si>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</si>
  <si>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</si>
  <si>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</si>
  <si>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</si>
  <si>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</si>
  <si>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</si>
  <si>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</si>
  <si>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</si>
  <si>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</si>
  <si>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</si>
  <si>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</si>
  <si>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</si>
  <si>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</si>
  <si>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</si>
  <si>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</si>
  <si>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</si>
  <si>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</si>
  <si>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</si>
  <si>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</si>
  <si>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</si>
  <si>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</si>
  <si>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</si>
  <si>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</si>
  <si>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</si>
  <si>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</si>
  <si>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</si>
  <si>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</si>
  <si>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</si>
  <si>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</si>
  <si>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</si>
  <si>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</si>
  <si>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</si>
  <si>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</si>
  <si>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</si>
  <si>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</si>
  <si>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</si>
  <si>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</si>
  <si>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</si>
  <si>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</si>
  <si>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</si>
  <si>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</si>
  <si>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</si>
  <si>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</si>
  <si>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</si>
  <si>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</si>
  <si>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</si>
  <si>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</si>
  <si>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</si>
  <si>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</si>
  <si>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</si>
  <si>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</si>
  <si>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</si>
  <si>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</si>
  <si>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</si>
  <si>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</si>
  <si>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</si>
  <si>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Jun.00</t>
  </si>
  <si>
    <t>-</t>
  </si>
  <si>
    <t>CANASTA FAMILIAR (BASICA)</t>
  </si>
  <si>
    <t>CAN. VITAL</t>
  </si>
  <si>
    <t>CAN. BASICA</t>
  </si>
  <si>
    <t>CANASTA FAMILIAR BASICA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</si>
  <si>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</si>
  <si>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</si>
  <si>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</si>
  <si>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</si>
  <si>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</si>
  <si>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</si>
  <si>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</si>
  <si>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</si>
  <si>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</si>
  <si>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</si>
  <si>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</si>
  <si>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</si>
  <si>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</si>
  <si>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</si>
  <si>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</si>
  <si>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</si>
  <si>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</si>
  <si>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</si>
  <si>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</si>
  <si>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</si>
  <si>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</si>
  <si>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</si>
  <si>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</si>
  <si>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</si>
  <si>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</si>
  <si>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</si>
  <si>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</si>
  <si>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</si>
  <si>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</si>
  <si>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</si>
  <si>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</si>
  <si>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</si>
  <si>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</si>
  <si>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</si>
  <si>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</si>
  <si>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</si>
  <si>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</si>
  <si>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</si>
  <si>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</si>
  <si>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</si>
  <si>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</si>
  <si>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</si>
  <si>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</si>
  <si>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</si>
  <si>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</si>
  <si>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</si>
  <si>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</si>
  <si>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</si>
  <si>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</si>
  <si>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</si>
  <si>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</si>
  <si>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</si>
  <si>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</si>
  <si>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0.6087</t>
  </si>
  <si>
    <t>1.6677</t>
  </si>
  <si>
    <t>2.6055</t>
  </si>
  <si>
    <t>0.3951</t>
  </si>
  <si>
    <t>0.3848</t>
  </si>
  <si>
    <t>OCTUBRE 2007</t>
  </si>
  <si>
    <t>Sep.2007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</si>
</sst>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204" fontId="9" fillId="0" borderId="0" xfId="0" applyNumberFormat="1" applyFont="1" applyAlignment="1" applyProtection="1">
      <alignment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0" borderId="15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203" fontId="8" fillId="0" borderId="0" xfId="0" applyNumberFormat="1" applyFont="1" applyAlignment="1">
      <alignment/>
    </xf>
    <xf numFmtId="203" fontId="9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03" fontId="12" fillId="0" borderId="0" xfId="0" applyNumberFormat="1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9" fillId="0" borderId="14" xfId="0" applyFont="1" applyBorder="1" applyAlignment="1">
      <alignment horizontal="centerContinuous"/>
    </xf>
    <xf numFmtId="200" fontId="0" fillId="0" borderId="0" xfId="0" applyNumberFormat="1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justify"/>
      <protection/>
    </xf>
    <xf numFmtId="0" fontId="7" fillId="33" borderId="10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justify"/>
    </xf>
    <xf numFmtId="0" fontId="7" fillId="33" borderId="11" xfId="0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197" fontId="9" fillId="33" borderId="13" xfId="0" applyNumberFormat="1" applyFont="1" applyFill="1" applyBorder="1" applyAlignment="1" applyProtection="1">
      <alignment horizontal="center" vertical="justify"/>
      <protection/>
    </xf>
    <xf numFmtId="0" fontId="7" fillId="33" borderId="13" xfId="0" applyFont="1" applyFill="1" applyBorder="1" applyAlignment="1">
      <alignment horizontal="center" vertical="justify"/>
    </xf>
    <xf numFmtId="0" fontId="7" fillId="33" borderId="13" xfId="0" applyFont="1" applyFill="1" applyBorder="1" applyAlignment="1">
      <alignment horizontal="center"/>
    </xf>
    <xf numFmtId="197" fontId="8" fillId="0" borderId="0" xfId="0" applyNumberFormat="1" applyFont="1" applyAlignment="1" applyProtection="1">
      <alignment/>
      <protection/>
    </xf>
    <xf numFmtId="198" fontId="8" fillId="0" borderId="0" xfId="0" applyNumberFormat="1" applyFont="1" applyAlignment="1" applyProtection="1">
      <alignment/>
      <protection/>
    </xf>
    <xf numFmtId="198" fontId="8" fillId="33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96" fontId="5" fillId="33" borderId="20" xfId="0" applyNumberFormat="1" applyFont="1" applyFill="1" applyBorder="1" applyAlignment="1" applyProtection="1">
      <alignment/>
      <protection/>
    </xf>
    <xf numFmtId="196" fontId="5" fillId="33" borderId="20" xfId="0" applyNumberFormat="1" applyFont="1" applyFill="1" applyBorder="1" applyAlignment="1" applyProtection="1">
      <alignment horizontal="center"/>
      <protection/>
    </xf>
    <xf numFmtId="17" fontId="10" fillId="33" borderId="20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>
      <alignment/>
    </xf>
    <xf numFmtId="197" fontId="0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198" fontId="0" fillId="33" borderId="14" xfId="0" applyNumberFormat="1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9" fontId="0" fillId="33" borderId="14" xfId="0" applyNumberForma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02" fontId="0" fillId="33" borderId="14" xfId="0" applyNumberFormat="1" applyFont="1" applyFill="1" applyBorder="1" applyAlignment="1" applyProtection="1">
      <alignment/>
      <protection/>
    </xf>
    <xf numFmtId="2" fontId="0" fillId="33" borderId="14" xfId="0" applyNumberFormat="1" applyFill="1" applyBorder="1" applyAlignment="1">
      <alignment/>
    </xf>
    <xf numFmtId="201" fontId="0" fillId="33" borderId="14" xfId="0" applyNumberFormat="1" applyFill="1" applyBorder="1" applyAlignment="1">
      <alignment/>
    </xf>
    <xf numFmtId="39" fontId="0" fillId="33" borderId="19" xfId="0" applyNumberFormat="1" applyFill="1" applyBorder="1" applyAlignment="1">
      <alignment/>
    </xf>
    <xf numFmtId="198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5" fillId="34" borderId="20" xfId="0" applyFont="1" applyFill="1" applyBorder="1" applyAlignment="1">
      <alignment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199" fontId="0" fillId="34" borderId="0" xfId="0" applyNumberFormat="1" applyFont="1" applyFill="1" applyAlignment="1">
      <alignment/>
    </xf>
    <xf numFmtId="199" fontId="1" fillId="34" borderId="0" xfId="0" applyNumberFormat="1" applyFont="1" applyFill="1" applyAlignment="1">
      <alignment/>
    </xf>
    <xf numFmtId="4" fontId="1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197" fontId="0" fillId="34" borderId="0" xfId="0" applyNumberFormat="1" applyFill="1" applyAlignment="1">
      <alignment/>
    </xf>
    <xf numFmtId="198" fontId="0" fillId="34" borderId="0" xfId="0" applyNumberFormat="1" applyFont="1" applyFill="1" applyAlignment="1" applyProtection="1">
      <alignment/>
      <protection/>
    </xf>
    <xf numFmtId="39" fontId="0" fillId="34" borderId="0" xfId="0" applyNumberFormat="1" applyFont="1" applyFill="1" applyAlignment="1" applyProtection="1">
      <alignment/>
      <protection/>
    </xf>
    <xf numFmtId="200" fontId="0" fillId="34" borderId="0" xfId="0" applyNumberFormat="1" applyFill="1" applyAlignment="1">
      <alignment/>
    </xf>
    <xf numFmtId="198" fontId="0" fillId="34" borderId="0" xfId="0" applyNumberFormat="1" applyFill="1" applyAlignment="1">
      <alignment/>
    </xf>
    <xf numFmtId="198" fontId="4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200" fontId="0" fillId="34" borderId="0" xfId="0" applyNumberFormat="1" applyFill="1" applyAlignment="1">
      <alignment horizontal="right"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35" borderId="11" xfId="0" applyFont="1" applyFill="1" applyBorder="1" applyAlignment="1">
      <alignment horizontal="center" vertical="justify"/>
    </xf>
    <xf numFmtId="0" fontId="7" fillId="35" borderId="13" xfId="0" applyFont="1" applyFill="1" applyBorder="1" applyAlignment="1">
      <alignment horizontal="center" vertical="justify"/>
    </xf>
    <xf numFmtId="198" fontId="8" fillId="35" borderId="0" xfId="0" applyNumberFormat="1" applyFont="1" applyFill="1" applyAlignment="1" applyProtection="1">
      <alignment/>
      <protection/>
    </xf>
    <xf numFmtId="198" fontId="17" fillId="35" borderId="0" xfId="0" applyNumberFormat="1" applyFont="1" applyFill="1" applyAlignment="1" applyProtection="1">
      <alignment/>
      <protection/>
    </xf>
    <xf numFmtId="198" fontId="16" fillId="35" borderId="0" xfId="0" applyNumberFormat="1" applyFont="1" applyFill="1" applyAlignment="1" applyProtection="1">
      <alignment/>
      <protection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5" borderId="10" xfId="0" applyFont="1" applyFill="1" applyBorder="1" applyAlignment="1">
      <alignment horizontal="center"/>
    </xf>
    <xf numFmtId="198" fontId="18" fillId="35" borderId="0" xfId="0" applyNumberFormat="1" applyFont="1" applyFill="1" applyAlignment="1" applyProtection="1">
      <alignment/>
      <protection/>
    </xf>
    <xf numFmtId="198" fontId="19" fillId="35" borderId="0" xfId="0" applyNumberFormat="1" applyFont="1" applyFill="1" applyAlignment="1" applyProtection="1">
      <alignment/>
      <protection locked="0"/>
    </xf>
    <xf numFmtId="198" fontId="19" fillId="35" borderId="0" xfId="0" applyNumberFormat="1" applyFont="1" applyFill="1" applyAlignment="1" applyProtection="1">
      <alignment/>
      <protection/>
    </xf>
    <xf numFmtId="198" fontId="16" fillId="35" borderId="0" xfId="0" applyNumberFormat="1" applyFont="1" applyFill="1" applyAlignment="1" applyProtection="1">
      <alignment/>
      <protection locked="0"/>
    </xf>
    <xf numFmtId="198" fontId="8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1" fillId="0" borderId="0" xfId="0" applyFont="1" applyAlignment="1">
      <alignment horizontal="right"/>
    </xf>
    <xf numFmtId="2" fontId="9" fillId="33" borderId="0" xfId="0" applyNumberFormat="1" applyFont="1" applyFill="1" applyAlignment="1">
      <alignment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9" fillId="33" borderId="0" xfId="0" applyNumberFormat="1" applyFont="1" applyFill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1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/>
    </xf>
    <xf numFmtId="201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201" fontId="0" fillId="33" borderId="21" xfId="0" applyNumberForma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201" fontId="0" fillId="0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203" fontId="8" fillId="0" borderId="0" xfId="0" applyNumberFormat="1" applyFont="1" applyAlignment="1" applyProtection="1">
      <alignment/>
      <protection/>
    </xf>
    <xf numFmtId="203" fontId="9" fillId="33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/>
      <protection/>
    </xf>
    <xf numFmtId="203" fontId="8" fillId="0" borderId="0" xfId="0" applyNumberFormat="1" applyFont="1" applyBorder="1" applyAlignment="1">
      <alignment/>
    </xf>
    <xf numFmtId="203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36" borderId="0" xfId="0" applyNumberFormat="1" applyFill="1" applyAlignment="1" applyProtection="1">
      <alignment horizontal="right"/>
      <protection locked="0"/>
    </xf>
    <xf numFmtId="200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15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38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2" ySplit="4" topLeftCell="C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63" t="s">
        <v>302</v>
      </c>
      <c r="G1" s="63" t="s">
        <v>304</v>
      </c>
      <c r="J1" s="63" t="s">
        <v>303</v>
      </c>
    </row>
    <row r="2" spans="1:10" ht="12.75">
      <c r="A2" s="79" t="s">
        <v>277</v>
      </c>
      <c r="B2" s="80" t="s">
        <v>0</v>
      </c>
      <c r="C2" s="81" t="s">
        <v>0</v>
      </c>
      <c r="D2" s="81"/>
      <c r="E2" s="81"/>
      <c r="F2" s="81"/>
      <c r="G2" s="155" t="s">
        <v>278</v>
      </c>
      <c r="H2" s="82" t="s">
        <v>278</v>
      </c>
      <c r="I2" s="20"/>
      <c r="J2" s="151" t="s">
        <v>278</v>
      </c>
    </row>
    <row r="3" spans="1:11" ht="12.75">
      <c r="A3" s="83" t="s">
        <v>279</v>
      </c>
      <c r="B3" s="84" t="s">
        <v>270</v>
      </c>
      <c r="C3" s="85" t="s">
        <v>280</v>
      </c>
      <c r="D3" s="85" t="s">
        <v>281</v>
      </c>
      <c r="E3" s="85" t="s">
        <v>281</v>
      </c>
      <c r="F3" s="85" t="s">
        <v>281</v>
      </c>
      <c r="G3" s="146"/>
      <c r="H3" s="86" t="s">
        <v>282</v>
      </c>
      <c r="I3" s="17"/>
      <c r="J3" s="152" t="s">
        <v>300</v>
      </c>
      <c r="K3" s="17"/>
    </row>
    <row r="4" spans="1:10" ht="12.75">
      <c r="A4" s="87" t="s">
        <v>283</v>
      </c>
      <c r="B4" s="88" t="s">
        <v>284</v>
      </c>
      <c r="C4" s="89">
        <v>1</v>
      </c>
      <c r="D4" s="90" t="s">
        <v>285</v>
      </c>
      <c r="E4" s="90" t="s">
        <v>286</v>
      </c>
      <c r="F4" s="90" t="s">
        <v>287</v>
      </c>
      <c r="G4" s="147" t="s">
        <v>288</v>
      </c>
      <c r="H4" s="91" t="s">
        <v>289</v>
      </c>
      <c r="J4" s="153" t="s">
        <v>293</v>
      </c>
    </row>
    <row r="5" spans="1:10" ht="12.75">
      <c r="A5" s="4"/>
      <c r="B5" s="3"/>
      <c r="C5" s="3"/>
      <c r="D5" s="3"/>
      <c r="E5" s="3"/>
      <c r="F5" s="3"/>
      <c r="G5" s="3"/>
      <c r="H5" s="3"/>
      <c r="J5" s="154"/>
    </row>
    <row r="6" spans="1:10" ht="12.75">
      <c r="A6" s="45" t="s">
        <v>1</v>
      </c>
      <c r="B6" s="60"/>
      <c r="C6" s="92">
        <v>0.4582805578767501</v>
      </c>
      <c r="D6" s="92"/>
      <c r="E6" s="92"/>
      <c r="F6" s="92"/>
      <c r="G6" s="92"/>
      <c r="H6" s="60"/>
      <c r="J6" s="154"/>
    </row>
    <row r="7" spans="1:10" ht="12.75">
      <c r="A7" s="45" t="s">
        <v>2</v>
      </c>
      <c r="B7" s="60"/>
      <c r="C7" s="92">
        <v>0.08419629092713042</v>
      </c>
      <c r="D7" s="92"/>
      <c r="E7" s="92"/>
      <c r="F7" s="92"/>
      <c r="G7" s="92"/>
      <c r="H7" s="60"/>
      <c r="J7" s="154"/>
    </row>
    <row r="8" spans="1:10" ht="12.75">
      <c r="A8" s="45" t="s">
        <v>3</v>
      </c>
      <c r="B8" s="45" t="s">
        <v>119</v>
      </c>
      <c r="C8" s="92">
        <v>0.04059439146731342</v>
      </c>
      <c r="D8" s="93">
        <f>$H8/5</f>
        <v>4.9924250188627015</v>
      </c>
      <c r="E8" s="93">
        <f>$H8/5*2</f>
        <v>9.984850037725403</v>
      </c>
      <c r="F8" s="93">
        <f>$H8/5*3</f>
        <v>14.977275056588105</v>
      </c>
      <c r="G8" s="148">
        <f>$H8/5*4</f>
        <v>19.969700075450806</v>
      </c>
      <c r="H8" s="94">
        <v>24.962125094313507</v>
      </c>
      <c r="J8" s="156">
        <v>15.83</v>
      </c>
    </row>
    <row r="9" spans="1:10" ht="12.75">
      <c r="A9" s="45" t="s">
        <v>4</v>
      </c>
      <c r="B9" s="45" t="s">
        <v>119</v>
      </c>
      <c r="C9" s="92">
        <v>0.010260558372836513</v>
      </c>
      <c r="D9" s="93">
        <f aca="true" t="shared" si="0" ref="D9:D67">$H9/5</f>
        <v>0.7994440007441116</v>
      </c>
      <c r="E9" s="93">
        <f aca="true" t="shared" si="1" ref="E9:E67">$H9/5*2</f>
        <v>1.5988880014882232</v>
      </c>
      <c r="F9" s="93">
        <f>$H9/5*3</f>
        <v>2.3983320022323347</v>
      </c>
      <c r="G9" s="148">
        <f aca="true" t="shared" si="2" ref="G9:G67">$H9/5*4</f>
        <v>3.1977760029764464</v>
      </c>
      <c r="H9" s="94">
        <v>3.997220003720558</v>
      </c>
      <c r="J9" s="156">
        <v>2.8251797801586482</v>
      </c>
    </row>
    <row r="10" spans="1:10" ht="12.75">
      <c r="A10" s="45" t="s">
        <v>5</v>
      </c>
      <c r="B10" s="45" t="s">
        <v>119</v>
      </c>
      <c r="C10" s="92">
        <v>0.03334134108698049</v>
      </c>
      <c r="D10" s="93">
        <f t="shared" si="0"/>
        <v>1.8570157780089123</v>
      </c>
      <c r="E10" s="93">
        <f t="shared" si="1"/>
        <v>3.7140315560178245</v>
      </c>
      <c r="F10" s="93">
        <f>$H10/5*3</f>
        <v>5.571047334026737</v>
      </c>
      <c r="G10" s="148">
        <f t="shared" si="2"/>
        <v>7.428063112035649</v>
      </c>
      <c r="H10" s="94">
        <v>9.285078890044561</v>
      </c>
      <c r="J10" s="156">
        <v>6.613813827159231</v>
      </c>
    </row>
    <row r="11" spans="1:10" ht="12.75">
      <c r="A11" s="45" t="s">
        <v>6</v>
      </c>
      <c r="B11" s="60"/>
      <c r="C11" s="92">
        <v>0.08606229936059971</v>
      </c>
      <c r="D11" s="93"/>
      <c r="E11" s="93"/>
      <c r="F11" s="93"/>
      <c r="G11" s="148"/>
      <c r="H11" s="94"/>
      <c r="J11" s="156"/>
    </row>
    <row r="12" spans="1:10" ht="12.75">
      <c r="A12" s="45" t="s">
        <v>7</v>
      </c>
      <c r="B12" s="45" t="s">
        <v>119</v>
      </c>
      <c r="C12" s="92">
        <v>0.025697175338992396</v>
      </c>
      <c r="D12" s="93">
        <f t="shared" si="0"/>
        <v>0.6765382533780679</v>
      </c>
      <c r="E12" s="93">
        <f t="shared" si="1"/>
        <v>1.3530765067561359</v>
      </c>
      <c r="F12" s="93">
        <f>$H12/5*3</f>
        <v>2.029614760134204</v>
      </c>
      <c r="G12" s="148">
        <f t="shared" si="2"/>
        <v>2.7061530135122718</v>
      </c>
      <c r="H12" s="94">
        <v>3.3826912668903395</v>
      </c>
      <c r="J12" s="156">
        <v>2.683531774583634</v>
      </c>
    </row>
    <row r="13" spans="1:10" ht="12.75">
      <c r="A13" s="45" t="s">
        <v>8</v>
      </c>
      <c r="B13" s="45" t="s">
        <v>119</v>
      </c>
      <c r="C13" s="92">
        <v>0.046891050325212215</v>
      </c>
      <c r="D13" s="93">
        <f t="shared" si="0"/>
        <v>0.9599376070837149</v>
      </c>
      <c r="E13" s="93">
        <f t="shared" si="1"/>
        <v>1.9198752141674298</v>
      </c>
      <c r="F13" s="93">
        <f>$H13/5*3</f>
        <v>2.8798128212511447</v>
      </c>
      <c r="G13" s="148">
        <f t="shared" si="2"/>
        <v>3.8397504283348596</v>
      </c>
      <c r="H13" s="94">
        <v>4.7996880354185745</v>
      </c>
      <c r="J13" s="156">
        <v>3.778544228474293</v>
      </c>
    </row>
    <row r="14" spans="1:10" ht="12.75">
      <c r="A14" s="45" t="s">
        <v>9</v>
      </c>
      <c r="B14" s="45" t="s">
        <v>119</v>
      </c>
      <c r="C14" s="92">
        <v>0.013474073696395106</v>
      </c>
      <c r="D14" s="93">
        <f t="shared" si="0"/>
        <v>0.3541728318628828</v>
      </c>
      <c r="E14" s="93">
        <f t="shared" si="1"/>
        <v>0.7083456637257656</v>
      </c>
      <c r="F14" s="93">
        <f>$H14/5*3</f>
        <v>1.0625184955886484</v>
      </c>
      <c r="G14" s="148">
        <f t="shared" si="2"/>
        <v>1.4166913274515311</v>
      </c>
      <c r="H14" s="94">
        <v>1.7708641593144139</v>
      </c>
      <c r="J14" s="156">
        <v>1.5347924678980984</v>
      </c>
    </row>
    <row r="15" spans="1:10" ht="12.75">
      <c r="A15" s="45" t="s">
        <v>10</v>
      </c>
      <c r="B15" s="60"/>
      <c r="C15" s="92">
        <v>0.01592824798809393</v>
      </c>
      <c r="D15" s="93"/>
      <c r="E15" s="93"/>
      <c r="F15" s="93"/>
      <c r="G15" s="148"/>
      <c r="H15" s="94"/>
      <c r="J15" s="156"/>
    </row>
    <row r="16" spans="1:10" ht="12.75">
      <c r="A16" s="45" t="s">
        <v>11</v>
      </c>
      <c r="B16" s="45" t="s">
        <v>119</v>
      </c>
      <c r="C16" s="92">
        <v>0.010553148495204499</v>
      </c>
      <c r="D16" s="93">
        <f t="shared" si="0"/>
        <v>0.19279266066177886</v>
      </c>
      <c r="E16" s="93">
        <f t="shared" si="1"/>
        <v>0.3855853213235577</v>
      </c>
      <c r="F16" s="93">
        <f>$H16/5*3</f>
        <v>0.5783779819853365</v>
      </c>
      <c r="G16" s="148">
        <f t="shared" si="2"/>
        <v>0.7711706426471154</v>
      </c>
      <c r="H16" s="94">
        <v>0.9639633033088942</v>
      </c>
      <c r="J16" s="156">
        <v>0.5719708963781258</v>
      </c>
    </row>
    <row r="17" spans="1:10" ht="12.75">
      <c r="A17" s="45" t="s">
        <v>264</v>
      </c>
      <c r="B17" s="45" t="s">
        <v>120</v>
      </c>
      <c r="C17" s="92">
        <v>0.005375099492889428</v>
      </c>
      <c r="D17" s="93">
        <f t="shared" si="0"/>
        <v>0.3583328458530522</v>
      </c>
      <c r="E17" s="93">
        <f t="shared" si="1"/>
        <v>0.7166656917061044</v>
      </c>
      <c r="F17" s="93">
        <f>$H17/5*3</f>
        <v>1.0749985375591566</v>
      </c>
      <c r="G17" s="148">
        <f t="shared" si="2"/>
        <v>1.4333313834122088</v>
      </c>
      <c r="H17" s="94">
        <v>1.791664229265261</v>
      </c>
      <c r="J17" s="156">
        <v>1.7301143697925125</v>
      </c>
    </row>
    <row r="18" spans="1:10" ht="12.75">
      <c r="A18" s="45" t="s">
        <v>12</v>
      </c>
      <c r="B18" s="60"/>
      <c r="C18" s="92">
        <v>0.019706044261933637</v>
      </c>
      <c r="D18" s="93"/>
      <c r="E18" s="93"/>
      <c r="F18" s="93"/>
      <c r="G18" s="148"/>
      <c r="H18" s="94"/>
      <c r="J18" s="156"/>
    </row>
    <row r="19" spans="1:10" ht="12.75">
      <c r="A19" s="45" t="s">
        <v>13</v>
      </c>
      <c r="B19" s="45" t="s">
        <v>121</v>
      </c>
      <c r="C19" s="92">
        <v>0.012325607705875869</v>
      </c>
      <c r="D19" s="93">
        <f t="shared" si="0"/>
        <v>0.5913676919042787</v>
      </c>
      <c r="E19" s="93">
        <f t="shared" si="1"/>
        <v>1.1827353838085575</v>
      </c>
      <c r="F19" s="93">
        <f>$H19/5*3</f>
        <v>1.7741030757128362</v>
      </c>
      <c r="G19" s="148">
        <f t="shared" si="2"/>
        <v>2.365470767617115</v>
      </c>
      <c r="H19" s="94">
        <v>2.9568384595213937</v>
      </c>
      <c r="J19" s="156">
        <v>2.2539073032873174</v>
      </c>
    </row>
    <row r="20" spans="1:10" ht="12.75">
      <c r="A20" s="45" t="s">
        <v>14</v>
      </c>
      <c r="B20" s="45" t="s">
        <v>122</v>
      </c>
      <c r="C20" s="92">
        <v>0.0073804365560577664</v>
      </c>
      <c r="D20" s="93">
        <f t="shared" si="0"/>
        <v>0.7332816743774099</v>
      </c>
      <c r="E20" s="93">
        <f t="shared" si="1"/>
        <v>1.4665633487548198</v>
      </c>
      <c r="F20" s="93">
        <f>$H20/5*3</f>
        <v>2.1998450231322297</v>
      </c>
      <c r="G20" s="148">
        <f t="shared" si="2"/>
        <v>2.9331266975096395</v>
      </c>
      <c r="H20" s="94">
        <v>3.6664083718870493</v>
      </c>
      <c r="J20" s="156">
        <v>3.0392813934743064</v>
      </c>
    </row>
    <row r="21" spans="1:10" ht="12.75">
      <c r="A21" s="45" t="s">
        <v>15</v>
      </c>
      <c r="B21" s="60"/>
      <c r="C21" s="92">
        <v>0.06987430299856687</v>
      </c>
      <c r="D21" s="93"/>
      <c r="E21" s="93"/>
      <c r="F21" s="93"/>
      <c r="G21" s="148"/>
      <c r="H21" s="94"/>
      <c r="J21" s="156"/>
    </row>
    <row r="22" spans="1:10" ht="12.75">
      <c r="A22" s="45" t="s">
        <v>16</v>
      </c>
      <c r="B22" s="45" t="s">
        <v>119</v>
      </c>
      <c r="C22" s="92">
        <v>0.012939648881049499</v>
      </c>
      <c r="D22" s="93">
        <f t="shared" si="0"/>
        <v>0.5572515038952559</v>
      </c>
      <c r="E22" s="93">
        <f t="shared" si="1"/>
        <v>1.1145030077905118</v>
      </c>
      <c r="F22" s="93">
        <f>$H22/5*3</f>
        <v>1.6717545116857677</v>
      </c>
      <c r="G22" s="148">
        <f t="shared" si="2"/>
        <v>2.2290060155810236</v>
      </c>
      <c r="H22" s="94">
        <v>2.7862575194762798</v>
      </c>
      <c r="J22" s="156">
        <v>2.3450107037555137</v>
      </c>
    </row>
    <row r="23" spans="1:10" ht="12.75">
      <c r="A23" s="45" t="s">
        <v>17</v>
      </c>
      <c r="B23" s="45" t="s">
        <v>121</v>
      </c>
      <c r="C23" s="92">
        <v>0.04174385266233051</v>
      </c>
      <c r="D23" s="93">
        <f t="shared" si="0"/>
        <v>7.287320841055353</v>
      </c>
      <c r="E23" s="93">
        <f t="shared" si="1"/>
        <v>14.574641682110705</v>
      </c>
      <c r="F23" s="93">
        <f>$H23/5*3</f>
        <v>21.861962523166056</v>
      </c>
      <c r="G23" s="148">
        <f t="shared" si="2"/>
        <v>29.14928336422141</v>
      </c>
      <c r="H23" s="94">
        <v>36.436604205276765</v>
      </c>
      <c r="J23" s="156">
        <v>20.599527646770966</v>
      </c>
    </row>
    <row r="24" spans="1:10" ht="12.75">
      <c r="A24" s="45" t="s">
        <v>18</v>
      </c>
      <c r="B24" s="45" t="s">
        <v>119</v>
      </c>
      <c r="C24" s="92">
        <v>0.015190801455186859</v>
      </c>
      <c r="D24" s="93">
        <f t="shared" si="0"/>
        <v>0.2426747731940612</v>
      </c>
      <c r="E24" s="93">
        <f t="shared" si="1"/>
        <v>0.4853495463881224</v>
      </c>
      <c r="F24" s="93">
        <f>$H24/5*3</f>
        <v>0.7280243195821836</v>
      </c>
      <c r="G24" s="148">
        <f t="shared" si="2"/>
        <v>0.9706990927762448</v>
      </c>
      <c r="H24" s="94">
        <v>1.213373865970306</v>
      </c>
      <c r="J24" s="156">
        <v>1.5778308354222699</v>
      </c>
    </row>
    <row r="25" spans="1:10" ht="12.75">
      <c r="A25" s="45" t="s">
        <v>19</v>
      </c>
      <c r="B25" s="60"/>
      <c r="C25" s="92">
        <v>0.031115068625289385</v>
      </c>
      <c r="D25" s="93"/>
      <c r="E25" s="93"/>
      <c r="F25" s="93"/>
      <c r="G25" s="148"/>
      <c r="H25" s="94"/>
      <c r="J25" s="156"/>
    </row>
    <row r="26" spans="1:10" ht="12.75">
      <c r="A26" s="45" t="s">
        <v>20</v>
      </c>
      <c r="B26" s="45" t="s">
        <v>119</v>
      </c>
      <c r="C26" s="92">
        <v>0.004960099217285856</v>
      </c>
      <c r="D26" s="93">
        <f t="shared" si="0"/>
        <v>0.15692480979979495</v>
      </c>
      <c r="E26" s="93">
        <f t="shared" si="1"/>
        <v>0.3138496195995899</v>
      </c>
      <c r="F26" s="93">
        <f aca="true" t="shared" si="3" ref="F26:F32">$H26/5*3</f>
        <v>0.47077442939938485</v>
      </c>
      <c r="G26" s="148">
        <f t="shared" si="2"/>
        <v>0.6276992391991798</v>
      </c>
      <c r="H26" s="94">
        <v>0.7846240489989748</v>
      </c>
      <c r="J26" s="156">
        <v>0.37251730002016653</v>
      </c>
    </row>
    <row r="27" spans="1:10" ht="12.75">
      <c r="A27" s="45" t="s">
        <v>21</v>
      </c>
      <c r="B27" s="45" t="s">
        <v>123</v>
      </c>
      <c r="C27" s="92">
        <v>0.002267075846102966</v>
      </c>
      <c r="D27" s="93">
        <f t="shared" si="0"/>
        <v>0.19540263955694212</v>
      </c>
      <c r="E27" s="93">
        <f t="shared" si="1"/>
        <v>0.39080527911388424</v>
      </c>
      <c r="F27" s="93">
        <f t="shared" si="3"/>
        <v>0.5862079186708263</v>
      </c>
      <c r="G27" s="148">
        <f t="shared" si="2"/>
        <v>0.7816105582277685</v>
      </c>
      <c r="H27" s="94">
        <v>0.9770131977847106</v>
      </c>
      <c r="J27" s="156">
        <v>1.1598942123500229</v>
      </c>
    </row>
    <row r="28" spans="1:10" ht="12.75">
      <c r="A28" s="45" t="s">
        <v>22</v>
      </c>
      <c r="B28" s="45" t="s">
        <v>123</v>
      </c>
      <c r="C28" s="92">
        <v>0.007893962076948518</v>
      </c>
      <c r="D28" s="93">
        <f t="shared" si="0"/>
        <v>0.9083097915617054</v>
      </c>
      <c r="E28" s="93">
        <f t="shared" si="1"/>
        <v>1.8166195831234109</v>
      </c>
      <c r="F28" s="93">
        <f t="shared" si="3"/>
        <v>2.724929374685116</v>
      </c>
      <c r="G28" s="148">
        <f t="shared" si="2"/>
        <v>3.6332391662468217</v>
      </c>
      <c r="H28" s="94">
        <v>4.541548957808527</v>
      </c>
      <c r="J28" s="156">
        <v>3.555239995490972</v>
      </c>
    </row>
    <row r="29" spans="1:10" ht="12.75">
      <c r="A29" s="45" t="s">
        <v>23</v>
      </c>
      <c r="B29" s="45" t="s">
        <v>119</v>
      </c>
      <c r="C29" s="92">
        <v>0.002318826479991181</v>
      </c>
      <c r="D29" s="93">
        <f t="shared" si="0"/>
        <v>0.16859505871353875</v>
      </c>
      <c r="E29" s="93">
        <f t="shared" si="1"/>
        <v>0.3371901174270775</v>
      </c>
      <c r="F29" s="93">
        <f t="shared" si="3"/>
        <v>0.5057851761406162</v>
      </c>
      <c r="G29" s="148">
        <f t="shared" si="2"/>
        <v>0.674380234854155</v>
      </c>
      <c r="H29" s="94">
        <v>0.8429752935676937</v>
      </c>
      <c r="J29" s="156">
        <v>0.6552389947561511</v>
      </c>
    </row>
    <row r="30" spans="1:10" ht="12.75">
      <c r="A30" s="45" t="s">
        <v>232</v>
      </c>
      <c r="B30" s="45" t="s">
        <v>119</v>
      </c>
      <c r="C30" s="92">
        <v>0.002738802778084004</v>
      </c>
      <c r="D30" s="93">
        <f t="shared" si="0"/>
        <v>0.1244836122094273</v>
      </c>
      <c r="E30" s="93">
        <f t="shared" si="1"/>
        <v>0.2489672244188546</v>
      </c>
      <c r="F30" s="93">
        <f t="shared" si="3"/>
        <v>0.37345083662828193</v>
      </c>
      <c r="G30" s="148">
        <f t="shared" si="2"/>
        <v>0.4979344488377092</v>
      </c>
      <c r="H30" s="94">
        <v>0.6224180610471365</v>
      </c>
      <c r="J30" s="156">
        <v>0.44791967837040925</v>
      </c>
    </row>
    <row r="31" spans="1:10" ht="12.75">
      <c r="A31" s="45" t="s">
        <v>24</v>
      </c>
      <c r="B31" s="45" t="s">
        <v>123</v>
      </c>
      <c r="C31" s="92">
        <v>0.0019297015213317165</v>
      </c>
      <c r="D31" s="93">
        <f t="shared" si="0"/>
        <v>0.09877448272984737</v>
      </c>
      <c r="E31" s="93">
        <f t="shared" si="1"/>
        <v>0.19754896545969475</v>
      </c>
      <c r="F31" s="93">
        <f t="shared" si="3"/>
        <v>0.29632344818954215</v>
      </c>
      <c r="G31" s="148">
        <f t="shared" si="2"/>
        <v>0.3950979309193895</v>
      </c>
      <c r="H31" s="94">
        <v>0.49387241364923684</v>
      </c>
      <c r="J31" s="156">
        <v>0.35844768249437203</v>
      </c>
    </row>
    <row r="32" spans="1:10" ht="12.75">
      <c r="A32" s="45" t="s">
        <v>233</v>
      </c>
      <c r="B32" s="45" t="s">
        <v>119</v>
      </c>
      <c r="C32" s="92">
        <v>0.009006600705545145</v>
      </c>
      <c r="D32" s="93">
        <f t="shared" si="0"/>
        <v>0.9781326278371738</v>
      </c>
      <c r="E32" s="93">
        <f t="shared" si="1"/>
        <v>1.9562652556743476</v>
      </c>
      <c r="F32" s="93">
        <f t="shared" si="3"/>
        <v>2.9343978835115214</v>
      </c>
      <c r="G32" s="148">
        <f t="shared" si="2"/>
        <v>3.9125305113486952</v>
      </c>
      <c r="H32" s="94">
        <v>4.890663139185869</v>
      </c>
      <c r="J32" s="156">
        <v>3.3379703703947796</v>
      </c>
    </row>
    <row r="33" spans="1:10" ht="12.75">
      <c r="A33" s="45" t="s">
        <v>25</v>
      </c>
      <c r="B33" s="60"/>
      <c r="C33" s="92">
        <v>0.03216401416602359</v>
      </c>
      <c r="D33" s="93"/>
      <c r="E33" s="93"/>
      <c r="F33" s="93"/>
      <c r="G33" s="148"/>
      <c r="H33" s="94"/>
      <c r="J33" s="156"/>
    </row>
    <row r="34" spans="1:10" ht="12.75">
      <c r="A34" s="45" t="s">
        <v>26</v>
      </c>
      <c r="B34" s="45" t="s">
        <v>119</v>
      </c>
      <c r="C34" s="92">
        <v>0.028779323668834747</v>
      </c>
      <c r="D34" s="93">
        <f t="shared" si="0"/>
        <v>4.717832824094924</v>
      </c>
      <c r="E34" s="93">
        <f t="shared" si="1"/>
        <v>9.435665648189849</v>
      </c>
      <c r="F34" s="93">
        <f>$H34/5*3</f>
        <v>14.153498472284774</v>
      </c>
      <c r="G34" s="148">
        <f t="shared" si="2"/>
        <v>18.871331296379697</v>
      </c>
      <c r="H34" s="94">
        <v>23.58916412047462</v>
      </c>
      <c r="J34" s="156">
        <v>16.37236212268856</v>
      </c>
    </row>
    <row r="35" spans="1:10" ht="12.75">
      <c r="A35" s="45" t="s">
        <v>27</v>
      </c>
      <c r="B35" s="45" t="s">
        <v>123</v>
      </c>
      <c r="C35" s="92">
        <v>0.0033846904971888436</v>
      </c>
      <c r="D35" s="93">
        <f t="shared" si="0"/>
        <v>0.6897885823233171</v>
      </c>
      <c r="E35" s="93">
        <f t="shared" si="1"/>
        <v>1.3795771646466342</v>
      </c>
      <c r="F35" s="93">
        <f>$H35/5*3</f>
        <v>2.069365746969951</v>
      </c>
      <c r="G35" s="148">
        <f t="shared" si="2"/>
        <v>2.7591543292932683</v>
      </c>
      <c r="H35" s="94">
        <v>3.4489429116165855</v>
      </c>
      <c r="J35" s="156">
        <v>3.4884823127689275</v>
      </c>
    </row>
    <row r="36" spans="1:10" ht="12.75">
      <c r="A36" s="45" t="s">
        <v>28</v>
      </c>
      <c r="B36" s="60"/>
      <c r="C36" s="92">
        <v>0.011085582901554404</v>
      </c>
      <c r="D36" s="93"/>
      <c r="E36" s="93"/>
      <c r="F36" s="93"/>
      <c r="G36" s="148"/>
      <c r="H36" s="94"/>
      <c r="J36" s="156"/>
    </row>
    <row r="37" spans="1:10" ht="12.75">
      <c r="A37" s="45" t="s">
        <v>29</v>
      </c>
      <c r="B37" s="45" t="s">
        <v>119</v>
      </c>
      <c r="C37" s="92">
        <v>0.00435899570058428</v>
      </c>
      <c r="D37" s="93">
        <f t="shared" si="0"/>
        <v>0.14262993264450877</v>
      </c>
      <c r="E37" s="93">
        <f t="shared" si="1"/>
        <v>0.28525986528901753</v>
      </c>
      <c r="F37" s="93">
        <f>$H37/5*3</f>
        <v>0.42788979793352633</v>
      </c>
      <c r="G37" s="148">
        <f t="shared" si="2"/>
        <v>0.5705197305780351</v>
      </c>
      <c r="H37" s="94">
        <v>0.7131496632225438</v>
      </c>
      <c r="J37" s="156">
        <v>1.0236480000618147</v>
      </c>
    </row>
    <row r="38" spans="1:10" ht="12.75">
      <c r="A38" s="45" t="s">
        <v>261</v>
      </c>
      <c r="B38" s="45" t="s">
        <v>119</v>
      </c>
      <c r="C38" s="92">
        <v>0.0016570154889207365</v>
      </c>
      <c r="D38" s="93">
        <f t="shared" si="0"/>
        <v>0.06815543919453218</v>
      </c>
      <c r="E38" s="93">
        <f t="shared" si="1"/>
        <v>0.13631087838906436</v>
      </c>
      <c r="F38" s="93">
        <f>$H38/5*3</f>
        <v>0.20446631758359654</v>
      </c>
      <c r="G38" s="148">
        <f t="shared" si="2"/>
        <v>0.2726217567781287</v>
      </c>
      <c r="H38" s="94">
        <v>0.34077719597266093</v>
      </c>
      <c r="J38" s="156">
        <v>0.33679603901808297</v>
      </c>
    </row>
    <row r="39" spans="1:10" ht="12.75">
      <c r="A39" s="45" t="s">
        <v>267</v>
      </c>
      <c r="B39" s="45" t="s">
        <v>123</v>
      </c>
      <c r="C39" s="92">
        <v>0.005069571712049388</v>
      </c>
      <c r="D39" s="93">
        <f t="shared" si="0"/>
        <v>0.2549366114587614</v>
      </c>
      <c r="E39" s="93">
        <f t="shared" si="1"/>
        <v>0.5098732229175228</v>
      </c>
      <c r="F39" s="93">
        <f>$H39/5*3</f>
        <v>0.7648098343762841</v>
      </c>
      <c r="G39" s="148">
        <f t="shared" si="2"/>
        <v>1.0197464458350456</v>
      </c>
      <c r="H39" s="94">
        <v>1.274683057293807</v>
      </c>
      <c r="J39" s="156">
        <v>0.7868467554234215</v>
      </c>
    </row>
    <row r="40" spans="1:10" ht="12.75">
      <c r="A40" s="45" t="s">
        <v>30</v>
      </c>
      <c r="B40" s="60"/>
      <c r="C40" s="92">
        <v>0.020282267666188954</v>
      </c>
      <c r="D40" s="93"/>
      <c r="E40" s="93"/>
      <c r="F40" s="93"/>
      <c r="G40" s="148"/>
      <c r="H40" s="94"/>
      <c r="J40" s="156"/>
    </row>
    <row r="41" spans="1:10" ht="12.75">
      <c r="A41" s="45" t="s">
        <v>31</v>
      </c>
      <c r="B41" s="45" t="s">
        <v>119</v>
      </c>
      <c r="C41" s="92">
        <v>0.0013126747326645354</v>
      </c>
      <c r="D41" s="93">
        <f t="shared" si="0"/>
        <v>0.0926588101737383</v>
      </c>
      <c r="E41" s="93">
        <f t="shared" si="1"/>
        <v>0.1853176203474766</v>
      </c>
      <c r="F41" s="93">
        <f aca="true" t="shared" si="4" ref="F41:F46">$H41/5*3</f>
        <v>0.2779764305212149</v>
      </c>
      <c r="G41" s="148">
        <f t="shared" si="2"/>
        <v>0.3706352406949532</v>
      </c>
      <c r="H41" s="94">
        <v>0.46329405086869146</v>
      </c>
      <c r="J41" s="156">
        <v>0.3990748496932668</v>
      </c>
    </row>
    <row r="42" spans="1:10" ht="12.75">
      <c r="A42" s="45" t="s">
        <v>228</v>
      </c>
      <c r="B42" s="45" t="s">
        <v>119</v>
      </c>
      <c r="C42" s="92">
        <v>0.001962543269760776</v>
      </c>
      <c r="D42" s="93">
        <f t="shared" si="0"/>
        <v>0.09864005613232946</v>
      </c>
      <c r="E42" s="93">
        <f t="shared" si="1"/>
        <v>0.1972801122646589</v>
      </c>
      <c r="F42" s="93">
        <f t="shared" si="4"/>
        <v>0.29592016839698837</v>
      </c>
      <c r="G42" s="148">
        <f t="shared" si="2"/>
        <v>0.3945602245293178</v>
      </c>
      <c r="H42" s="94">
        <v>0.4932002806616473</v>
      </c>
      <c r="J42" s="156">
        <v>0.864059449676712</v>
      </c>
    </row>
    <row r="43" spans="1:10" ht="12.75">
      <c r="A43" s="45" t="s">
        <v>32</v>
      </c>
      <c r="B43" s="45" t="s">
        <v>119</v>
      </c>
      <c r="C43" s="92">
        <v>0.00452917566971668</v>
      </c>
      <c r="D43" s="93">
        <f t="shared" si="0"/>
        <v>1.407688212389169</v>
      </c>
      <c r="E43" s="93">
        <f t="shared" si="1"/>
        <v>2.815376424778338</v>
      </c>
      <c r="F43" s="93">
        <f t="shared" si="4"/>
        <v>4.223064637167507</v>
      </c>
      <c r="G43" s="148">
        <f t="shared" si="2"/>
        <v>5.630752849556676</v>
      </c>
      <c r="H43" s="94">
        <v>7.038441061945845</v>
      </c>
      <c r="J43" s="156">
        <v>6.7111294039572975</v>
      </c>
    </row>
    <row r="44" spans="1:10" ht="12.75">
      <c r="A44" s="45" t="s">
        <v>33</v>
      </c>
      <c r="B44" s="45" t="s">
        <v>119</v>
      </c>
      <c r="C44" s="92">
        <v>0.00418881573145188</v>
      </c>
      <c r="D44" s="93">
        <f t="shared" si="0"/>
        <v>0.18527166533406234</v>
      </c>
      <c r="E44" s="93">
        <f t="shared" si="1"/>
        <v>0.37054333066812467</v>
      </c>
      <c r="F44" s="93">
        <f t="shared" si="4"/>
        <v>0.555814996002187</v>
      </c>
      <c r="G44" s="148">
        <f t="shared" si="2"/>
        <v>0.7410866613362493</v>
      </c>
      <c r="H44" s="94">
        <v>0.9263583266703117</v>
      </c>
      <c r="J44" s="156">
        <v>1.684163372231107</v>
      </c>
    </row>
    <row r="45" spans="1:10" ht="12.75">
      <c r="A45" s="45" t="s">
        <v>34</v>
      </c>
      <c r="B45" s="45" t="s">
        <v>119</v>
      </c>
      <c r="C45" s="92">
        <v>0.003581740987763202</v>
      </c>
      <c r="D45" s="93">
        <f t="shared" si="0"/>
        <v>1.383649271249754</v>
      </c>
      <c r="E45" s="93">
        <f t="shared" si="1"/>
        <v>2.767298542499508</v>
      </c>
      <c r="F45" s="93">
        <f t="shared" si="4"/>
        <v>4.150947813749262</v>
      </c>
      <c r="G45" s="148">
        <f t="shared" si="2"/>
        <v>5.534597084999016</v>
      </c>
      <c r="H45" s="94">
        <v>6.91824635624877</v>
      </c>
      <c r="J45" s="156">
        <v>5.973155145412613</v>
      </c>
    </row>
    <row r="46" spans="1:10" ht="12.75">
      <c r="A46" s="45" t="s">
        <v>229</v>
      </c>
      <c r="B46" s="45" t="s">
        <v>119</v>
      </c>
      <c r="C46" s="92">
        <v>0.004707317274831882</v>
      </c>
      <c r="D46" s="93">
        <f t="shared" si="0"/>
        <v>1.6053596096647813</v>
      </c>
      <c r="E46" s="93">
        <f t="shared" si="1"/>
        <v>3.2107192193295626</v>
      </c>
      <c r="F46" s="93">
        <f t="shared" si="4"/>
        <v>4.816078828994344</v>
      </c>
      <c r="G46" s="148">
        <f t="shared" si="2"/>
        <v>6.421438438659125</v>
      </c>
      <c r="H46" s="94">
        <v>8.026798048323906</v>
      </c>
      <c r="J46" s="156">
        <v>5.302990150391004</v>
      </c>
    </row>
    <row r="47" spans="1:10" ht="12.75">
      <c r="A47" s="45" t="s">
        <v>223</v>
      </c>
      <c r="B47" s="60"/>
      <c r="C47" s="92">
        <v>0.02208342167346489</v>
      </c>
      <c r="D47" s="93"/>
      <c r="E47" s="93"/>
      <c r="F47" s="93"/>
      <c r="G47" s="148"/>
      <c r="H47" s="94"/>
      <c r="J47" s="156"/>
    </row>
    <row r="48" spans="1:10" ht="12.75">
      <c r="A48" s="45" t="s">
        <v>230</v>
      </c>
      <c r="B48" s="45" t="s">
        <v>119</v>
      </c>
      <c r="C48" s="92">
        <v>0.02108042167346489</v>
      </c>
      <c r="D48" s="93">
        <f t="shared" si="0"/>
        <v>2.5395537135466655</v>
      </c>
      <c r="E48" s="93">
        <f t="shared" si="1"/>
        <v>5.079107427093331</v>
      </c>
      <c r="F48" s="93">
        <f>$H48/5*3</f>
        <v>7.618661140639997</v>
      </c>
      <c r="G48" s="148">
        <f t="shared" si="2"/>
        <v>10.158214854186662</v>
      </c>
      <c r="H48" s="94">
        <v>12.697768567733327</v>
      </c>
      <c r="J48" s="156">
        <v>7.164506368757535</v>
      </c>
    </row>
    <row r="49" spans="1:10" ht="12.75">
      <c r="A49" s="45" t="s">
        <v>35</v>
      </c>
      <c r="B49" s="95" t="s">
        <v>124</v>
      </c>
      <c r="C49" s="96">
        <v>0.001003</v>
      </c>
      <c r="D49" s="93">
        <f t="shared" si="0"/>
        <v>0.17004195312182552</v>
      </c>
      <c r="E49" s="93">
        <f t="shared" si="1"/>
        <v>0.34008390624365104</v>
      </c>
      <c r="F49" s="93">
        <f>$H49/5*3</f>
        <v>0.5101258593654765</v>
      </c>
      <c r="G49" s="148">
        <f t="shared" si="2"/>
        <v>0.6801678124873021</v>
      </c>
      <c r="H49" s="97">
        <v>0.8502097656091275</v>
      </c>
      <c r="J49" s="157">
        <v>0.5701029770574094</v>
      </c>
    </row>
    <row r="50" spans="1:10" ht="12.75">
      <c r="A50" s="45" t="s">
        <v>36</v>
      </c>
      <c r="B50" s="60"/>
      <c r="C50" s="92">
        <v>0.0183854078932863</v>
      </c>
      <c r="D50" s="93"/>
      <c r="E50" s="93"/>
      <c r="F50" s="93"/>
      <c r="G50" s="148"/>
      <c r="H50" s="94"/>
      <c r="J50" s="156"/>
    </row>
    <row r="51" spans="1:10" ht="12.75">
      <c r="A51" s="45" t="s">
        <v>231</v>
      </c>
      <c r="B51" s="45" t="s">
        <v>119</v>
      </c>
      <c r="C51" s="92">
        <v>0.014693199206261713</v>
      </c>
      <c r="D51" s="93">
        <f t="shared" si="0"/>
        <v>0.2979219751055586</v>
      </c>
      <c r="E51" s="93">
        <f t="shared" si="1"/>
        <v>0.5958439502111172</v>
      </c>
      <c r="F51" s="93">
        <f>$H51/5*3</f>
        <v>0.8937659253166759</v>
      </c>
      <c r="G51" s="148">
        <f t="shared" si="2"/>
        <v>1.1916879004222345</v>
      </c>
      <c r="H51" s="94">
        <v>1.4896098755277931</v>
      </c>
      <c r="J51" s="156">
        <v>1.447821417140645</v>
      </c>
    </row>
    <row r="52" spans="1:10" ht="12.75">
      <c r="A52" s="45" t="s">
        <v>37</v>
      </c>
      <c r="B52" s="45" t="s">
        <v>125</v>
      </c>
      <c r="C52" s="92">
        <v>0.003692208687024584</v>
      </c>
      <c r="D52" s="93">
        <f t="shared" si="0"/>
        <v>1.463915085681122</v>
      </c>
      <c r="E52" s="93">
        <f t="shared" si="1"/>
        <v>2.927830171362244</v>
      </c>
      <c r="F52" s="93">
        <f>$H52/5*3</f>
        <v>4.391745257043366</v>
      </c>
      <c r="G52" s="148">
        <f t="shared" si="2"/>
        <v>5.855660342724488</v>
      </c>
      <c r="H52" s="94">
        <v>7.31957542840561</v>
      </c>
      <c r="J52" s="156">
        <v>1.628117067102669</v>
      </c>
    </row>
    <row r="53" spans="1:10" ht="12.75">
      <c r="A53" s="45" t="s">
        <v>38</v>
      </c>
      <c r="B53" s="60"/>
      <c r="C53" s="92">
        <v>0.002779606162495866</v>
      </c>
      <c r="D53" s="93"/>
      <c r="E53" s="93"/>
      <c r="F53" s="93"/>
      <c r="G53" s="148"/>
      <c r="H53" s="94"/>
      <c r="J53" s="156"/>
    </row>
    <row r="54" spans="1:10" ht="12.75">
      <c r="A54" s="45" t="s">
        <v>39</v>
      </c>
      <c r="B54" s="45" t="s">
        <v>126</v>
      </c>
      <c r="C54" s="92">
        <v>0.002779606162495866</v>
      </c>
      <c r="D54" s="93">
        <f t="shared" si="0"/>
        <v>0.45849944658071606</v>
      </c>
      <c r="E54" s="93">
        <f t="shared" si="1"/>
        <v>0.9169988931614321</v>
      </c>
      <c r="F54" s="93">
        <f>$H54/5*3</f>
        <v>1.375498339742148</v>
      </c>
      <c r="G54" s="148">
        <f t="shared" si="2"/>
        <v>1.8339977863228643</v>
      </c>
      <c r="H54" s="94">
        <v>2.2924972329035804</v>
      </c>
      <c r="J54" s="156">
        <v>2.7082152339245003</v>
      </c>
    </row>
    <row r="55" spans="1:10" ht="12.75">
      <c r="A55" s="45" t="s">
        <v>40</v>
      </c>
      <c r="B55" s="60"/>
      <c r="C55" s="92">
        <v>0.04461800325212215</v>
      </c>
      <c r="D55" s="93"/>
      <c r="E55" s="93"/>
      <c r="F55" s="93"/>
      <c r="G55" s="148"/>
      <c r="H55" s="94"/>
      <c r="J55" s="156"/>
    </row>
    <row r="56" spans="1:10" ht="12.75">
      <c r="A56" s="45" t="s">
        <v>235</v>
      </c>
      <c r="B56" s="45" t="s">
        <v>125</v>
      </c>
      <c r="C56" s="92">
        <v>0.008251240491676772</v>
      </c>
      <c r="D56" s="93">
        <f t="shared" si="0"/>
        <v>2.9542206201902106</v>
      </c>
      <c r="E56" s="93">
        <f t="shared" si="1"/>
        <v>5.908441240380421</v>
      </c>
      <c r="F56" s="93">
        <f>$H56/5*3</f>
        <v>8.862661860570633</v>
      </c>
      <c r="G56" s="148">
        <f t="shared" si="2"/>
        <v>11.816882480760842</v>
      </c>
      <c r="H56" s="94">
        <v>14.771103100951052</v>
      </c>
      <c r="J56" s="156">
        <v>7.482836872580045</v>
      </c>
    </row>
    <row r="57" spans="1:10" ht="12.75">
      <c r="A57" s="45" t="s">
        <v>41</v>
      </c>
      <c r="B57" s="45" t="s">
        <v>127</v>
      </c>
      <c r="C57" s="92">
        <v>0.03636676276044538</v>
      </c>
      <c r="D57" s="93">
        <f t="shared" si="0"/>
        <v>1.6415263976700742</v>
      </c>
      <c r="E57" s="93">
        <f t="shared" si="1"/>
        <v>3.2830527953401485</v>
      </c>
      <c r="F57" s="93">
        <f>$H57/5*3</f>
        <v>4.9245791930102225</v>
      </c>
      <c r="G57" s="148">
        <f t="shared" si="2"/>
        <v>6.566105590680297</v>
      </c>
      <c r="H57" s="94">
        <v>8.207631988350371</v>
      </c>
      <c r="J57" s="156">
        <v>10.94875823675094</v>
      </c>
    </row>
    <row r="58" spans="1:10" ht="12.75">
      <c r="A58" s="45" t="s">
        <v>42</v>
      </c>
      <c r="B58" s="60"/>
      <c r="C58" s="92">
        <v>0.23110246940800355</v>
      </c>
      <c r="D58" s="93"/>
      <c r="E58" s="93"/>
      <c r="F58" s="93"/>
      <c r="G58" s="148"/>
      <c r="H58" s="94"/>
      <c r="J58" s="148"/>
    </row>
    <row r="59" spans="1:10" ht="12.75">
      <c r="A59" s="45" t="s">
        <v>290</v>
      </c>
      <c r="B59" s="45" t="s">
        <v>129</v>
      </c>
      <c r="C59" s="92">
        <v>0.1641311161944659</v>
      </c>
      <c r="D59" s="98">
        <v>1</v>
      </c>
      <c r="E59" s="98">
        <v>1</v>
      </c>
      <c r="F59" s="98">
        <v>1</v>
      </c>
      <c r="G59" s="149">
        <v>1</v>
      </c>
      <c r="H59" s="102">
        <v>1</v>
      </c>
      <c r="I59" s="144"/>
      <c r="J59" s="158">
        <v>1</v>
      </c>
    </row>
    <row r="60" spans="1:10" ht="12.75">
      <c r="A60" s="45" t="s">
        <v>44</v>
      </c>
      <c r="B60" s="60"/>
      <c r="C60" s="92">
        <v>0.040487</v>
      </c>
      <c r="D60" s="93"/>
      <c r="E60" s="93"/>
      <c r="F60" s="93"/>
      <c r="G60" s="148"/>
      <c r="H60" s="94"/>
      <c r="J60" s="148"/>
    </row>
    <row r="61" spans="1:10" ht="12.75">
      <c r="A61" s="45" t="s">
        <v>259</v>
      </c>
      <c r="B61" s="95" t="s">
        <v>272</v>
      </c>
      <c r="C61" s="96">
        <v>0.020176</v>
      </c>
      <c r="D61" s="98">
        <v>0.5</v>
      </c>
      <c r="E61" s="98">
        <f>$H61/5*3</f>
        <v>0.5999964585783035</v>
      </c>
      <c r="F61" s="102">
        <f>$H61/5*3</f>
        <v>0.5999964585783035</v>
      </c>
      <c r="G61" s="150">
        <f t="shared" si="2"/>
        <v>0.7999952781044046</v>
      </c>
      <c r="H61" s="97">
        <v>0.9999940976305058</v>
      </c>
      <c r="J61" s="157">
        <v>1</v>
      </c>
    </row>
    <row r="62" spans="1:10" ht="12.75">
      <c r="A62" s="45" t="s">
        <v>45</v>
      </c>
      <c r="B62" s="95" t="s">
        <v>271</v>
      </c>
      <c r="C62" s="96">
        <v>0.020311</v>
      </c>
      <c r="D62" s="100">
        <f t="shared" si="0"/>
        <v>0.2740053197560802</v>
      </c>
      <c r="E62" s="100">
        <f t="shared" si="1"/>
        <v>0.5480106395121604</v>
      </c>
      <c r="F62" s="100">
        <f>$H62/5*3</f>
        <v>0.8220159592682407</v>
      </c>
      <c r="G62" s="150">
        <f t="shared" si="2"/>
        <v>1.096021279024321</v>
      </c>
      <c r="H62" s="97">
        <v>1.370026598780401</v>
      </c>
      <c r="J62" s="157">
        <v>1.4734745268807201</v>
      </c>
    </row>
    <row r="63" spans="1:10" ht="12.75">
      <c r="A63" s="45" t="s">
        <v>46</v>
      </c>
      <c r="B63" s="60"/>
      <c r="C63" s="92">
        <v>0.023489782879506118</v>
      </c>
      <c r="D63" s="100"/>
      <c r="E63" s="100"/>
      <c r="F63" s="100"/>
      <c r="G63" s="150"/>
      <c r="H63" s="94"/>
      <c r="J63" s="148"/>
    </row>
    <row r="64" spans="1:10" ht="12.75">
      <c r="A64" s="45" t="s">
        <v>47</v>
      </c>
      <c r="B64" s="95" t="s">
        <v>132</v>
      </c>
      <c r="C64" s="96">
        <v>0.010993</v>
      </c>
      <c r="D64" s="100">
        <f t="shared" si="0"/>
        <v>0.1380046674445741</v>
      </c>
      <c r="E64" s="100">
        <f t="shared" si="1"/>
        <v>0.2760093348891482</v>
      </c>
      <c r="F64" s="100">
        <f>$H64/5*3</f>
        <v>0.4140140023337223</v>
      </c>
      <c r="G64" s="150">
        <f t="shared" si="2"/>
        <v>0.5520186697782964</v>
      </c>
      <c r="H64" s="97">
        <v>0.6900233372228705</v>
      </c>
      <c r="J64" s="159">
        <v>0.5262409024574001</v>
      </c>
    </row>
    <row r="65" spans="1:10" ht="12.75">
      <c r="A65" s="45" t="s">
        <v>48</v>
      </c>
      <c r="B65" s="45" t="s">
        <v>133</v>
      </c>
      <c r="C65" s="92">
        <v>0.0027298459376033516</v>
      </c>
      <c r="D65" s="93">
        <f t="shared" si="0"/>
        <v>0.4020437426104303</v>
      </c>
      <c r="E65" s="93">
        <f t="shared" si="1"/>
        <v>0.8040874852208606</v>
      </c>
      <c r="F65" s="93">
        <f>$H65/5*3</f>
        <v>1.2061312278312908</v>
      </c>
      <c r="G65" s="148">
        <f t="shared" si="2"/>
        <v>1.6081749704417212</v>
      </c>
      <c r="H65" s="94">
        <v>2.0102187130521516</v>
      </c>
      <c r="J65" s="148">
        <v>1.1042406541559653</v>
      </c>
    </row>
    <row r="66" spans="1:10" ht="12.75">
      <c r="A66" s="45" t="s">
        <v>236</v>
      </c>
      <c r="B66" s="45" t="s">
        <v>134</v>
      </c>
      <c r="C66" s="92">
        <v>0.006789285084334693</v>
      </c>
      <c r="D66" s="93">
        <f t="shared" si="0"/>
        <v>1.5335993742620664</v>
      </c>
      <c r="E66" s="93">
        <f t="shared" si="1"/>
        <v>3.0671987485241328</v>
      </c>
      <c r="F66" s="93">
        <f>$H66/5*3</f>
        <v>4.600798122786199</v>
      </c>
      <c r="G66" s="148">
        <f t="shared" si="2"/>
        <v>6.1343974970482655</v>
      </c>
      <c r="H66" s="94">
        <v>7.667996871310332</v>
      </c>
      <c r="J66" s="148">
        <v>6.154975014139468</v>
      </c>
    </row>
    <row r="67" spans="1:10" ht="12.75">
      <c r="A67" s="45" t="s">
        <v>237</v>
      </c>
      <c r="B67" s="45" t="s">
        <v>135</v>
      </c>
      <c r="C67" s="92">
        <v>0.0029776518575680743</v>
      </c>
      <c r="D67" s="93">
        <f t="shared" si="0"/>
        <v>0.5382337424312601</v>
      </c>
      <c r="E67" s="93">
        <f t="shared" si="1"/>
        <v>1.0764674848625202</v>
      </c>
      <c r="F67" s="93">
        <f>$H67/5*3</f>
        <v>1.6147012272937804</v>
      </c>
      <c r="G67" s="148">
        <f t="shared" si="2"/>
        <v>2.1529349697250404</v>
      </c>
      <c r="H67" s="94">
        <v>2.6911687121563004</v>
      </c>
      <c r="J67" s="148">
        <v>3.1391708173654655</v>
      </c>
    </row>
    <row r="68" spans="1:10" ht="12.75">
      <c r="A68" s="45" t="s">
        <v>49</v>
      </c>
      <c r="B68" s="92"/>
      <c r="C68" s="92">
        <v>0.0029945703340315292</v>
      </c>
      <c r="D68" s="93"/>
      <c r="E68" s="93"/>
      <c r="F68" s="93"/>
      <c r="G68" s="148"/>
      <c r="H68" s="94"/>
      <c r="J68" s="148"/>
    </row>
    <row r="69" spans="1:10" ht="12.75">
      <c r="A69" s="45" t="s">
        <v>50</v>
      </c>
      <c r="B69" s="45" t="s">
        <v>127</v>
      </c>
      <c r="C69" s="92">
        <v>0.0024501934737074195</v>
      </c>
      <c r="D69" s="98">
        <v>0.446653392080537</v>
      </c>
      <c r="E69" s="98">
        <v>0.44665339208053745</v>
      </c>
      <c r="F69" s="98">
        <v>0.44665339208053745</v>
      </c>
      <c r="G69" s="149">
        <v>0.44665339208053745</v>
      </c>
      <c r="H69" s="94">
        <v>0.44665339208053745</v>
      </c>
      <c r="J69" s="148">
        <v>0.5723479144744972</v>
      </c>
    </row>
    <row r="70" spans="1:10" ht="12.75">
      <c r="A70" s="45" t="s">
        <v>51</v>
      </c>
      <c r="B70" s="45" t="s">
        <v>127</v>
      </c>
      <c r="C70" s="92">
        <v>0.0005443768603241098</v>
      </c>
      <c r="D70" s="98">
        <v>0.21876794716756515</v>
      </c>
      <c r="E70" s="98">
        <v>0.21876794716756515</v>
      </c>
      <c r="F70" s="98">
        <v>0.21876794716756515</v>
      </c>
      <c r="G70" s="149">
        <v>0.21876794716756515</v>
      </c>
      <c r="H70" s="94">
        <v>0.21876794716756515</v>
      </c>
      <c r="J70" s="148">
        <v>0.2663980460859923</v>
      </c>
    </row>
    <row r="71" spans="1:10" ht="12.75">
      <c r="A71" s="45" t="s">
        <v>52</v>
      </c>
      <c r="B71" s="60"/>
      <c r="C71" s="92">
        <v>0.1002778004078933</v>
      </c>
      <c r="D71" s="93"/>
      <c r="E71" s="93"/>
      <c r="F71" s="93"/>
      <c r="G71" s="148"/>
      <c r="H71" s="94"/>
      <c r="J71" s="148"/>
    </row>
    <row r="72" spans="1:10" ht="12.75">
      <c r="A72" s="45" t="s">
        <v>53</v>
      </c>
      <c r="B72" s="60"/>
      <c r="C72" s="92">
        <v>0.011914588248263698</v>
      </c>
      <c r="D72" s="93"/>
      <c r="E72" s="93"/>
      <c r="F72" s="93"/>
      <c r="G72" s="148"/>
      <c r="H72" s="94"/>
      <c r="J72" s="148"/>
    </row>
    <row r="73" spans="1:10" ht="12.75">
      <c r="A73" s="45" t="s">
        <v>262</v>
      </c>
      <c r="B73" s="45" t="s">
        <v>136</v>
      </c>
      <c r="C73" s="92">
        <v>0.0072261798588909715</v>
      </c>
      <c r="D73" s="93">
        <f aca="true" t="shared" si="5" ref="D73:D110">$H73/5</f>
        <v>0.050035348312847616</v>
      </c>
      <c r="E73" s="93">
        <f aca="true" t="shared" si="6" ref="E73:E110">$H73/5*2</f>
        <v>0.10007069662569523</v>
      </c>
      <c r="F73" s="93">
        <f aca="true" t="shared" si="7" ref="F73:F110">$H73/5*3</f>
        <v>0.15010604493854285</v>
      </c>
      <c r="G73" s="148">
        <f aca="true" t="shared" si="8" ref="G73:G110">$H73/5*4</f>
        <v>0.20014139325139046</v>
      </c>
      <c r="H73" s="94">
        <v>0.2501767415642381</v>
      </c>
      <c r="J73" s="148">
        <v>0.33730048470283513</v>
      </c>
    </row>
    <row r="74" spans="1:10" ht="12.75">
      <c r="A74" s="45" t="s">
        <v>238</v>
      </c>
      <c r="B74" s="45" t="s">
        <v>136</v>
      </c>
      <c r="C74" s="92">
        <v>0.004688408389372727</v>
      </c>
      <c r="D74" s="93">
        <f t="shared" si="5"/>
        <v>0.1469909962190387</v>
      </c>
      <c r="E74" s="93">
        <f t="shared" si="6"/>
        <v>0.2939819924380774</v>
      </c>
      <c r="F74" s="93">
        <f t="shared" si="7"/>
        <v>0.4409729886571161</v>
      </c>
      <c r="G74" s="148">
        <f t="shared" si="8"/>
        <v>0.5879639848761548</v>
      </c>
      <c r="H74" s="94">
        <v>0.7349549810951934</v>
      </c>
      <c r="J74" s="160" t="s">
        <v>301</v>
      </c>
    </row>
    <row r="75" spans="1:10" ht="12.75">
      <c r="A75" s="45" t="s">
        <v>54</v>
      </c>
      <c r="B75" s="92"/>
      <c r="C75" s="92">
        <v>0.047337897144747</v>
      </c>
      <c r="D75" s="93"/>
      <c r="E75" s="93"/>
      <c r="F75" s="93"/>
      <c r="G75" s="148"/>
      <c r="H75" s="94"/>
      <c r="J75" s="161"/>
    </row>
    <row r="76" spans="1:10" ht="12.75">
      <c r="A76" s="45" t="s">
        <v>55</v>
      </c>
      <c r="B76" s="45" t="s">
        <v>127</v>
      </c>
      <c r="C76" s="92">
        <v>0.011650859056333372</v>
      </c>
      <c r="D76" s="93">
        <f t="shared" si="5"/>
        <v>0.05081514410441938</v>
      </c>
      <c r="E76" s="93">
        <f t="shared" si="6"/>
        <v>0.10163028820883876</v>
      </c>
      <c r="F76" s="93">
        <f t="shared" si="7"/>
        <v>0.15244543231325813</v>
      </c>
      <c r="G76" s="148">
        <f t="shared" si="8"/>
        <v>0.20326057641767753</v>
      </c>
      <c r="H76" s="94">
        <v>0.2540757205220969</v>
      </c>
      <c r="J76" s="148">
        <v>0.13336183141320218</v>
      </c>
    </row>
    <row r="77" spans="1:10" ht="12.75">
      <c r="A77" s="45" t="s">
        <v>56</v>
      </c>
      <c r="B77" s="45" t="s">
        <v>127</v>
      </c>
      <c r="C77" s="92">
        <v>0.002023250744129644</v>
      </c>
      <c r="D77" s="93">
        <f t="shared" si="5"/>
        <v>0.04078258291529216</v>
      </c>
      <c r="E77" s="93">
        <f t="shared" si="6"/>
        <v>0.08156516583058432</v>
      </c>
      <c r="F77" s="93">
        <f t="shared" si="7"/>
        <v>0.12234774874587648</v>
      </c>
      <c r="G77" s="148">
        <f t="shared" si="8"/>
        <v>0.16313033166116864</v>
      </c>
      <c r="H77" s="94">
        <v>0.2039129145764608</v>
      </c>
      <c r="J77" s="148">
        <v>0.27359893619632764</v>
      </c>
    </row>
    <row r="78" spans="1:10" ht="12.75">
      <c r="A78" s="45" t="s">
        <v>239</v>
      </c>
      <c r="B78" s="45" t="s">
        <v>127</v>
      </c>
      <c r="C78" s="92">
        <v>0.018095803384411864</v>
      </c>
      <c r="D78" s="93">
        <f t="shared" si="5"/>
        <v>0.052256825991909714</v>
      </c>
      <c r="E78" s="93">
        <f t="shared" si="6"/>
        <v>0.10451365198381943</v>
      </c>
      <c r="F78" s="93">
        <f t="shared" si="7"/>
        <v>0.15677047797572913</v>
      </c>
      <c r="G78" s="148">
        <f t="shared" si="8"/>
        <v>0.20902730396763886</v>
      </c>
      <c r="H78" s="94">
        <v>0.2612841299595486</v>
      </c>
      <c r="J78" s="148">
        <v>0.21520111045555312</v>
      </c>
    </row>
    <row r="79" spans="1:10" ht="12.75">
      <c r="A79" s="45" t="s">
        <v>57</v>
      </c>
      <c r="B79" s="45" t="s">
        <v>127</v>
      </c>
      <c r="C79" s="92">
        <v>0.015567983959872122</v>
      </c>
      <c r="D79" s="93">
        <f t="shared" si="5"/>
        <v>0.03448524126719506</v>
      </c>
      <c r="E79" s="93">
        <f t="shared" si="6"/>
        <v>0.06897048253439012</v>
      </c>
      <c r="F79" s="93">
        <f t="shared" si="7"/>
        <v>0.10345572380158517</v>
      </c>
      <c r="G79" s="148">
        <f t="shared" si="8"/>
        <v>0.13794096506878023</v>
      </c>
      <c r="H79" s="94">
        <v>0.1724262063359753</v>
      </c>
      <c r="J79" s="148">
        <v>0.1461744838552826</v>
      </c>
    </row>
    <row r="80" spans="1:10" ht="12.75">
      <c r="A80" s="45" t="s">
        <v>58</v>
      </c>
      <c r="B80" s="92"/>
      <c r="C80" s="92">
        <v>0.03658073172748319</v>
      </c>
      <c r="D80" s="93"/>
      <c r="E80" s="93"/>
      <c r="F80" s="93"/>
      <c r="G80" s="148"/>
      <c r="H80" s="94"/>
      <c r="J80" s="148"/>
    </row>
    <row r="81" spans="1:10" ht="12.75">
      <c r="A81" s="45" t="s">
        <v>59</v>
      </c>
      <c r="B81" s="45" t="s">
        <v>127</v>
      </c>
      <c r="C81" s="92">
        <v>0.005188001047293573</v>
      </c>
      <c r="D81" s="93">
        <f t="shared" si="5"/>
        <v>0.02262940944007525</v>
      </c>
      <c r="E81" s="93">
        <f t="shared" si="6"/>
        <v>0.0452588188801505</v>
      </c>
      <c r="F81" s="93">
        <f t="shared" si="7"/>
        <v>0.06788822832022576</v>
      </c>
      <c r="G81" s="148">
        <f t="shared" si="8"/>
        <v>0.090517637760301</v>
      </c>
      <c r="H81" s="94">
        <v>0.11314704720037624</v>
      </c>
      <c r="J81" s="148">
        <v>0.08798525245488231</v>
      </c>
    </row>
    <row r="82" spans="1:10" ht="12.75">
      <c r="A82" s="45" t="s">
        <v>60</v>
      </c>
      <c r="B82" s="45" t="s">
        <v>127</v>
      </c>
      <c r="C82" s="92">
        <v>0.0011604084444934407</v>
      </c>
      <c r="D82" s="93">
        <f t="shared" si="5"/>
        <v>0.033923042269286705</v>
      </c>
      <c r="E82" s="93">
        <f t="shared" si="6"/>
        <v>0.06784608453857341</v>
      </c>
      <c r="F82" s="93">
        <f t="shared" si="7"/>
        <v>0.10176912680786011</v>
      </c>
      <c r="G82" s="148">
        <f t="shared" si="8"/>
        <v>0.13569216907714682</v>
      </c>
      <c r="H82" s="94">
        <v>0.1696152113464335</v>
      </c>
      <c r="J82" s="148">
        <v>0.1388184277102129</v>
      </c>
    </row>
    <row r="83" spans="1:10" ht="12.75">
      <c r="A83" s="45" t="s">
        <v>61</v>
      </c>
      <c r="B83" s="45" t="s">
        <v>127</v>
      </c>
      <c r="C83" s="92">
        <v>0.007302810605225444</v>
      </c>
      <c r="D83" s="93">
        <f t="shared" si="5"/>
        <v>0.031632350167159186</v>
      </c>
      <c r="E83" s="93">
        <f t="shared" si="6"/>
        <v>0.06326470033431837</v>
      </c>
      <c r="F83" s="93">
        <f t="shared" si="7"/>
        <v>0.09489705050147756</v>
      </c>
      <c r="G83" s="148">
        <f t="shared" si="8"/>
        <v>0.12652940066863674</v>
      </c>
      <c r="H83" s="94">
        <v>0.15816175083579592</v>
      </c>
      <c r="J83" s="148">
        <v>0.13912262864942673</v>
      </c>
    </row>
    <row r="84" spans="1:10" ht="12.75">
      <c r="A84" s="45" t="s">
        <v>62</v>
      </c>
      <c r="B84" s="45" t="s">
        <v>138</v>
      </c>
      <c r="C84" s="92">
        <v>0.002473083177157976</v>
      </c>
      <c r="D84" s="93">
        <f t="shared" si="5"/>
        <v>0.1682239116830932</v>
      </c>
      <c r="E84" s="93">
        <f t="shared" si="6"/>
        <v>0.3364478233661864</v>
      </c>
      <c r="F84" s="93">
        <f t="shared" si="7"/>
        <v>0.5046717350492795</v>
      </c>
      <c r="G84" s="148">
        <f t="shared" si="8"/>
        <v>0.6728956467323728</v>
      </c>
      <c r="H84" s="94">
        <v>0.841119558415466</v>
      </c>
      <c r="J84" s="148">
        <v>0.7167694588894259</v>
      </c>
    </row>
    <row r="85" spans="1:10" ht="12.75">
      <c r="A85" s="45" t="s">
        <v>240</v>
      </c>
      <c r="B85" s="45" t="s">
        <v>127</v>
      </c>
      <c r="C85" s="92">
        <v>0.007098793683166134</v>
      </c>
      <c r="D85" s="93">
        <f t="shared" si="5"/>
        <v>0.024355673144872796</v>
      </c>
      <c r="E85" s="93">
        <f t="shared" si="6"/>
        <v>0.04871134628974559</v>
      </c>
      <c r="F85" s="93">
        <f t="shared" si="7"/>
        <v>0.07306701943461838</v>
      </c>
      <c r="G85" s="148">
        <f t="shared" si="8"/>
        <v>0.09742269257949118</v>
      </c>
      <c r="H85" s="94">
        <v>0.12177836572436398</v>
      </c>
      <c r="J85" s="148">
        <v>0.08134033539201131</v>
      </c>
    </row>
    <row r="86" spans="1:10" ht="12.75">
      <c r="A86" s="45" t="s">
        <v>63</v>
      </c>
      <c r="B86" s="45" t="s">
        <v>127</v>
      </c>
      <c r="C86" s="92">
        <v>0.013357634770146622</v>
      </c>
      <c r="D86" s="93">
        <f t="shared" si="5"/>
        <v>0.0352973526309807</v>
      </c>
      <c r="E86" s="93">
        <f t="shared" si="6"/>
        <v>0.0705947052619614</v>
      </c>
      <c r="F86" s="93">
        <f t="shared" si="7"/>
        <v>0.1058920578929421</v>
      </c>
      <c r="G86" s="148">
        <f t="shared" si="8"/>
        <v>0.1411894105239228</v>
      </c>
      <c r="H86" s="94">
        <v>0.1764867631549035</v>
      </c>
      <c r="J86" s="148">
        <v>0.1903268126288055</v>
      </c>
    </row>
    <row r="87" spans="1:10" ht="12.75">
      <c r="A87" s="45" t="s">
        <v>224</v>
      </c>
      <c r="B87" s="92"/>
      <c r="C87" s="92">
        <v>0.004444583287399405</v>
      </c>
      <c r="D87" s="93"/>
      <c r="E87" s="93"/>
      <c r="F87" s="93"/>
      <c r="G87" s="148"/>
      <c r="H87" s="94"/>
      <c r="J87" s="148"/>
    </row>
    <row r="88" spans="1:10" ht="12.75">
      <c r="A88" s="45" t="s">
        <v>241</v>
      </c>
      <c r="B88" s="45" t="s">
        <v>138</v>
      </c>
      <c r="C88" s="92">
        <v>0.004444583287399405</v>
      </c>
      <c r="D88" s="93">
        <f t="shared" si="5"/>
        <v>0.04527880175902242</v>
      </c>
      <c r="E88" s="93">
        <f t="shared" si="6"/>
        <v>0.09055760351804484</v>
      </c>
      <c r="F88" s="93">
        <f t="shared" si="7"/>
        <v>0.13583640527706725</v>
      </c>
      <c r="G88" s="148">
        <f t="shared" si="8"/>
        <v>0.1811152070360897</v>
      </c>
      <c r="H88" s="94">
        <v>0.2263940087951121</v>
      </c>
      <c r="J88" s="148">
        <v>0.18905237399787417</v>
      </c>
    </row>
    <row r="89" spans="1:10" ht="12.75">
      <c r="A89" s="45" t="s">
        <v>64</v>
      </c>
      <c r="B89" s="60"/>
      <c r="C89" s="92">
        <v>0.21033917230735313</v>
      </c>
      <c r="D89" s="93"/>
      <c r="E89" s="93"/>
      <c r="F89" s="93"/>
      <c r="G89" s="148"/>
      <c r="H89" s="94"/>
      <c r="J89" s="148"/>
    </row>
    <row r="90" spans="1:10" ht="12.75">
      <c r="A90" s="45" t="s">
        <v>65</v>
      </c>
      <c r="B90" s="92"/>
      <c r="C90" s="92">
        <v>0.06024271386837174</v>
      </c>
      <c r="D90" s="93"/>
      <c r="E90" s="93"/>
      <c r="F90" s="93"/>
      <c r="G90" s="148"/>
      <c r="H90" s="94"/>
      <c r="J90" s="148"/>
    </row>
    <row r="91" spans="1:10" ht="12.75">
      <c r="A91" s="45" t="s">
        <v>265</v>
      </c>
      <c r="B91" s="45" t="s">
        <v>139</v>
      </c>
      <c r="C91" s="92">
        <v>0.009585809723294014</v>
      </c>
      <c r="D91" s="93">
        <f t="shared" si="5"/>
        <v>0.06225898777871082</v>
      </c>
      <c r="E91" s="93">
        <f t="shared" si="6"/>
        <v>0.12451797555742164</v>
      </c>
      <c r="F91" s="93">
        <f t="shared" si="7"/>
        <v>0.18677696333613247</v>
      </c>
      <c r="G91" s="148">
        <f t="shared" si="8"/>
        <v>0.24903595111484328</v>
      </c>
      <c r="H91" s="94">
        <v>0.3112949388935541</v>
      </c>
      <c r="J91" s="148">
        <v>0.5756099928830931</v>
      </c>
    </row>
    <row r="92" spans="1:10" ht="12.75">
      <c r="A92" s="45" t="s">
        <v>66</v>
      </c>
      <c r="B92" s="92" t="s">
        <v>291</v>
      </c>
      <c r="C92" s="92">
        <v>0.05065690414507772</v>
      </c>
      <c r="D92" s="93">
        <f t="shared" si="5"/>
        <v>0.718012609531427</v>
      </c>
      <c r="E92" s="93">
        <f t="shared" si="6"/>
        <v>1.436025219062854</v>
      </c>
      <c r="F92" s="93">
        <f t="shared" si="7"/>
        <v>2.154037828594281</v>
      </c>
      <c r="G92" s="148">
        <f t="shared" si="8"/>
        <v>2.872050438125708</v>
      </c>
      <c r="H92" s="94">
        <v>3.590063047657135</v>
      </c>
      <c r="J92" s="148">
        <v>0.47326987998936565</v>
      </c>
    </row>
    <row r="93" spans="1:10" ht="12.75">
      <c r="A93" s="45" t="s">
        <v>67</v>
      </c>
      <c r="B93" s="92"/>
      <c r="C93" s="92">
        <v>0.0423967068129203</v>
      </c>
      <c r="D93" s="93"/>
      <c r="E93" s="93"/>
      <c r="F93" s="93"/>
      <c r="G93" s="148"/>
      <c r="H93" s="94"/>
      <c r="J93" s="148"/>
    </row>
    <row r="94" spans="1:10" ht="12.75">
      <c r="A94" s="45" t="s">
        <v>68</v>
      </c>
      <c r="B94" s="45" t="s">
        <v>140</v>
      </c>
      <c r="C94" s="92">
        <v>0.007972583232278691</v>
      </c>
      <c r="D94" s="93">
        <f t="shared" si="5"/>
        <v>0.3499922353074243</v>
      </c>
      <c r="E94" s="93">
        <f t="shared" si="6"/>
        <v>0.6999844706148486</v>
      </c>
      <c r="F94" s="93">
        <f t="shared" si="7"/>
        <v>1.0499767059222729</v>
      </c>
      <c r="G94" s="148">
        <f t="shared" si="8"/>
        <v>1.3999689412296972</v>
      </c>
      <c r="H94" s="94">
        <v>1.7499611765371215</v>
      </c>
      <c r="J94" s="148">
        <v>2.0846658567974896</v>
      </c>
    </row>
    <row r="95" spans="1:10" ht="12.75">
      <c r="A95" s="45" t="s">
        <v>69</v>
      </c>
      <c r="B95" s="45" t="s">
        <v>141</v>
      </c>
      <c r="C95" s="92">
        <v>0.008687140061735201</v>
      </c>
      <c r="D95" s="93">
        <f t="shared" si="5"/>
        <v>0.23908721451301695</v>
      </c>
      <c r="E95" s="93">
        <f t="shared" si="6"/>
        <v>0.4781744290260339</v>
      </c>
      <c r="F95" s="93">
        <f t="shared" si="7"/>
        <v>0.7172616435390509</v>
      </c>
      <c r="G95" s="148">
        <f t="shared" si="8"/>
        <v>0.9563488580520678</v>
      </c>
      <c r="H95" s="94">
        <v>1.1954360725650848</v>
      </c>
      <c r="J95" s="148">
        <v>1.1323999971198755</v>
      </c>
    </row>
    <row r="96" spans="1:10" ht="12.75">
      <c r="A96" s="45" t="s">
        <v>243</v>
      </c>
      <c r="B96" s="45" t="s">
        <v>142</v>
      </c>
      <c r="C96" s="92">
        <v>0.006248889042001984</v>
      </c>
      <c r="D96" s="93">
        <f t="shared" si="5"/>
        <v>1.0329927905674368</v>
      </c>
      <c r="E96" s="93">
        <f t="shared" si="6"/>
        <v>2.0659855811348735</v>
      </c>
      <c r="F96" s="93">
        <f t="shared" si="7"/>
        <v>3.0989783717023105</v>
      </c>
      <c r="G96" s="148">
        <f t="shared" si="8"/>
        <v>4.131971162269747</v>
      </c>
      <c r="H96" s="94">
        <v>5.164963952837184</v>
      </c>
      <c r="J96" s="148">
        <v>2.0417465406031354</v>
      </c>
    </row>
    <row r="97" spans="1:10" ht="12.75">
      <c r="A97" s="45" t="s">
        <v>70</v>
      </c>
      <c r="B97" s="45" t="s">
        <v>143</v>
      </c>
      <c r="C97" s="92">
        <v>0.007482942619336346</v>
      </c>
      <c r="D97" s="93">
        <f t="shared" si="5"/>
        <v>0.5397653919702683</v>
      </c>
      <c r="E97" s="93">
        <f t="shared" si="6"/>
        <v>1.0795307839405366</v>
      </c>
      <c r="F97" s="93">
        <f t="shared" si="7"/>
        <v>1.6192961759108049</v>
      </c>
      <c r="G97" s="148">
        <f t="shared" si="8"/>
        <v>2.159061567881073</v>
      </c>
      <c r="H97" s="94">
        <v>2.6988269598513415</v>
      </c>
      <c r="J97" s="148">
        <v>1.136923881818994</v>
      </c>
    </row>
    <row r="98" spans="1:10" ht="12.75">
      <c r="A98" s="45" t="s">
        <v>144</v>
      </c>
      <c r="B98" s="45" t="s">
        <v>145</v>
      </c>
      <c r="C98" s="92">
        <v>0.012005151857568076</v>
      </c>
      <c r="D98" s="93">
        <f t="shared" si="5"/>
        <v>0.23211023712639628</v>
      </c>
      <c r="E98" s="93">
        <f t="shared" si="6"/>
        <v>0.46422047425279256</v>
      </c>
      <c r="F98" s="93">
        <f t="shared" si="7"/>
        <v>0.6963307113791888</v>
      </c>
      <c r="G98" s="148">
        <f t="shared" si="8"/>
        <v>0.9284409485055851</v>
      </c>
      <c r="H98" s="94">
        <v>1.1605511856319815</v>
      </c>
      <c r="J98" s="148">
        <v>1.3883139367282868</v>
      </c>
    </row>
    <row r="99" spans="1:10" ht="12.75">
      <c r="A99" s="45" t="s">
        <v>71</v>
      </c>
      <c r="B99" s="92"/>
      <c r="C99" s="92">
        <v>0.023842114154999452</v>
      </c>
      <c r="D99" s="93"/>
      <c r="E99" s="93"/>
      <c r="F99" s="93"/>
      <c r="G99" s="148"/>
      <c r="H99" s="94"/>
      <c r="J99" s="148"/>
    </row>
    <row r="100" spans="1:10" ht="12.75">
      <c r="A100" s="45" t="s">
        <v>72</v>
      </c>
      <c r="B100" s="45" t="s">
        <v>146</v>
      </c>
      <c r="C100" s="92">
        <v>0.008985701411090289</v>
      </c>
      <c r="D100" s="93">
        <f t="shared" si="5"/>
        <v>0.6924889674608437</v>
      </c>
      <c r="E100" s="93">
        <f t="shared" si="6"/>
        <v>1.3849779349216873</v>
      </c>
      <c r="F100" s="93">
        <f t="shared" si="7"/>
        <v>2.0774669023825307</v>
      </c>
      <c r="G100" s="148">
        <f t="shared" si="8"/>
        <v>2.7699558698433746</v>
      </c>
      <c r="H100" s="94">
        <v>3.462444837304218</v>
      </c>
      <c r="J100" s="160" t="s">
        <v>301</v>
      </c>
    </row>
    <row r="101" spans="1:10" ht="12.75">
      <c r="A101" s="45" t="s">
        <v>244</v>
      </c>
      <c r="B101" s="45" t="s">
        <v>147</v>
      </c>
      <c r="C101" s="92">
        <v>0.008578662771469518</v>
      </c>
      <c r="D101" s="93">
        <f t="shared" si="5"/>
        <v>0.25103641563005535</v>
      </c>
      <c r="E101" s="93">
        <f t="shared" si="6"/>
        <v>0.5020728312601107</v>
      </c>
      <c r="F101" s="93">
        <f t="shared" si="7"/>
        <v>0.7531092468901661</v>
      </c>
      <c r="G101" s="148">
        <f t="shared" si="8"/>
        <v>1.0041456625202214</v>
      </c>
      <c r="H101" s="94">
        <v>1.2551820781502767</v>
      </c>
      <c r="J101" s="148">
        <v>2.5265533916346614</v>
      </c>
    </row>
    <row r="102" spans="1:10" ht="12.75">
      <c r="A102" s="45" t="s">
        <v>245</v>
      </c>
      <c r="B102" s="45" t="s">
        <v>127</v>
      </c>
      <c r="C102" s="92">
        <v>0.006277749972439644</v>
      </c>
      <c r="D102" s="93">
        <f t="shared" si="5"/>
        <v>2.0093127335660346</v>
      </c>
      <c r="E102" s="93">
        <f t="shared" si="6"/>
        <v>4.018625467132069</v>
      </c>
      <c r="F102" s="93">
        <f t="shared" si="7"/>
        <v>6.027938200698104</v>
      </c>
      <c r="G102" s="148">
        <f t="shared" si="8"/>
        <v>8.037250934264138</v>
      </c>
      <c r="H102" s="94">
        <v>10.046563667830172</v>
      </c>
      <c r="J102" s="148">
        <v>9.10951155404676</v>
      </c>
    </row>
    <row r="103" spans="1:10" ht="12.75">
      <c r="A103" s="45" t="s">
        <v>73</v>
      </c>
      <c r="B103" s="60"/>
      <c r="C103" s="92">
        <v>0.011676734373277478</v>
      </c>
      <c r="D103" s="93"/>
      <c r="E103" s="93"/>
      <c r="F103" s="93"/>
      <c r="G103" s="148"/>
      <c r="H103" s="94"/>
      <c r="J103" s="148"/>
    </row>
    <row r="104" spans="1:10" ht="12.75">
      <c r="A104" s="45" t="s">
        <v>74</v>
      </c>
      <c r="B104" s="45" t="s">
        <v>148</v>
      </c>
      <c r="C104" s="92">
        <v>0.011676734373277478</v>
      </c>
      <c r="D104" s="93">
        <f t="shared" si="5"/>
        <v>1.4787466620803205</v>
      </c>
      <c r="E104" s="93">
        <f t="shared" si="6"/>
        <v>2.957493324160641</v>
      </c>
      <c r="F104" s="93">
        <f t="shared" si="7"/>
        <v>4.436239986240961</v>
      </c>
      <c r="G104" s="148">
        <f t="shared" si="8"/>
        <v>5.914986648321282</v>
      </c>
      <c r="H104" s="94">
        <v>7.393733310401602</v>
      </c>
      <c r="J104" s="148">
        <v>2.4708004666756107</v>
      </c>
    </row>
    <row r="105" spans="1:10" ht="12.75">
      <c r="A105" s="45" t="s">
        <v>75</v>
      </c>
      <c r="B105" s="60"/>
      <c r="C105" s="92">
        <v>0.03165790309778415</v>
      </c>
      <c r="D105" s="93"/>
      <c r="E105" s="93"/>
      <c r="F105" s="93"/>
      <c r="G105" s="148"/>
      <c r="H105" s="94"/>
      <c r="J105" s="148"/>
    </row>
    <row r="106" spans="1:10" ht="12.75">
      <c r="A106" s="45" t="s">
        <v>76</v>
      </c>
      <c r="B106" s="60" t="s">
        <v>291</v>
      </c>
      <c r="C106" s="92">
        <v>0.013276028001322897</v>
      </c>
      <c r="D106" s="93"/>
      <c r="E106" s="93"/>
      <c r="F106" s="99">
        <f>$H106/3</f>
        <v>0.9837585412255286</v>
      </c>
      <c r="G106" s="149">
        <f>$H106/3*2</f>
        <v>1.9675170824510573</v>
      </c>
      <c r="H106" s="94">
        <v>2.951275623676586</v>
      </c>
      <c r="J106" s="148">
        <v>3.1438438174917214</v>
      </c>
    </row>
    <row r="107" spans="1:10" ht="12.75">
      <c r="A107" s="45" t="s">
        <v>77</v>
      </c>
      <c r="B107" s="92" t="s">
        <v>291</v>
      </c>
      <c r="C107" s="92">
        <v>0.01413787509646125</v>
      </c>
      <c r="D107" s="93"/>
      <c r="E107" s="93"/>
      <c r="F107" s="99">
        <f>$H107/3</f>
        <v>0.5436120206385442</v>
      </c>
      <c r="G107" s="149">
        <f>$H107/3*2</f>
        <v>1.0872240412770884</v>
      </c>
      <c r="H107" s="94">
        <v>1.6308360619156326</v>
      </c>
      <c r="J107" s="148">
        <v>0.9037048710698099</v>
      </c>
    </row>
    <row r="108" spans="1:10" ht="12.75">
      <c r="A108" s="45" t="s">
        <v>266</v>
      </c>
      <c r="B108" s="101" t="s">
        <v>292</v>
      </c>
      <c r="C108" s="96">
        <v>0.004244</v>
      </c>
      <c r="D108" s="93"/>
      <c r="E108" s="93"/>
      <c r="F108" s="99">
        <f>$H108/3</f>
        <v>0.036665558548528585</v>
      </c>
      <c r="G108" s="149">
        <f>$H108/3*2</f>
        <v>0.07333111709705717</v>
      </c>
      <c r="H108" s="97">
        <v>0.10999667564558575</v>
      </c>
      <c r="J108" s="157">
        <v>0.10524818049148003</v>
      </c>
    </row>
    <row r="109" spans="1:10" ht="12.75">
      <c r="A109" s="45" t="s">
        <v>78</v>
      </c>
      <c r="B109" s="92"/>
      <c r="C109" s="96">
        <v>0.040523</v>
      </c>
      <c r="D109" s="93"/>
      <c r="E109" s="93"/>
      <c r="F109" s="93"/>
      <c r="G109" s="148"/>
      <c r="H109" s="97"/>
      <c r="J109" s="159"/>
    </row>
    <row r="110" spans="1:10" ht="12.75">
      <c r="A110" s="45" t="s">
        <v>79</v>
      </c>
      <c r="B110" s="45" t="s">
        <v>149</v>
      </c>
      <c r="C110" s="96">
        <v>0.040523</v>
      </c>
      <c r="D110" s="93">
        <f t="shared" si="5"/>
        <v>29.064</v>
      </c>
      <c r="E110" s="93">
        <f t="shared" si="6"/>
        <v>58.128</v>
      </c>
      <c r="F110" s="93">
        <f t="shared" si="7"/>
        <v>87.19200000000001</v>
      </c>
      <c r="G110" s="148">
        <f t="shared" si="8"/>
        <v>116.256</v>
      </c>
      <c r="H110" s="97">
        <v>145.32</v>
      </c>
      <c r="J110" s="157">
        <v>122.36153463939469</v>
      </c>
    </row>
    <row r="111" spans="1:10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ht="12.75">
      <c r="H112" s="13"/>
    </row>
  </sheetData>
  <sheetProtection/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zoomScalePageLayoutView="0" workbookViewId="0" topLeftCell="A4">
      <pane xSplit="2" ySplit="4" topLeftCell="AY10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80</v>
      </c>
      <c r="B3" s="2" t="s">
        <v>81</v>
      </c>
      <c r="C3" s="2" t="s">
        <v>82</v>
      </c>
      <c r="D3" s="2" t="s">
        <v>83</v>
      </c>
      <c r="E3" s="2"/>
      <c r="F3" s="1" t="s">
        <v>84</v>
      </c>
      <c r="G3" s="3"/>
      <c r="H3" s="1" t="s">
        <v>85</v>
      </c>
    </row>
    <row r="4" spans="1:8" ht="12.75">
      <c r="A4" s="1" t="s">
        <v>86</v>
      </c>
      <c r="B4" s="2" t="s">
        <v>87</v>
      </c>
      <c r="C4" s="3"/>
      <c r="D4" s="2" t="s">
        <v>88</v>
      </c>
      <c r="E4" s="2"/>
      <c r="F4" s="1" t="s">
        <v>0</v>
      </c>
      <c r="G4" s="3"/>
      <c r="H4" s="1" t="s">
        <v>0</v>
      </c>
    </row>
    <row r="5" spans="1:10" ht="12.75">
      <c r="A5" s="1" t="s">
        <v>89</v>
      </c>
      <c r="B5" s="2" t="s">
        <v>0</v>
      </c>
      <c r="C5" s="2" t="s">
        <v>0</v>
      </c>
      <c r="D5" s="2" t="s">
        <v>90</v>
      </c>
      <c r="E5" s="125"/>
      <c r="F5" s="2" t="s">
        <v>91</v>
      </c>
      <c r="G5" s="2" t="s">
        <v>92</v>
      </c>
      <c r="H5" s="2" t="s">
        <v>91</v>
      </c>
      <c r="J5" t="s">
        <v>93</v>
      </c>
    </row>
    <row r="6" spans="1:60" ht="12.75">
      <c r="A6" s="103" t="s">
        <v>294</v>
      </c>
      <c r="B6" s="104"/>
      <c r="C6" s="104" t="s">
        <v>94</v>
      </c>
      <c r="D6" s="104" t="s">
        <v>95</v>
      </c>
      <c r="E6" s="126" t="s">
        <v>295</v>
      </c>
      <c r="F6" s="105"/>
      <c r="G6" s="106" t="s">
        <v>96</v>
      </c>
      <c r="H6" s="105" t="s">
        <v>97</v>
      </c>
      <c r="I6" s="107">
        <v>36678</v>
      </c>
      <c r="J6" s="104" t="s">
        <v>98</v>
      </c>
      <c r="K6" s="104" t="s">
        <v>99</v>
      </c>
      <c r="L6" s="126" t="s">
        <v>296</v>
      </c>
      <c r="M6" s="126" t="s">
        <v>297</v>
      </c>
      <c r="N6" s="126" t="s">
        <v>298</v>
      </c>
      <c r="O6" s="126" t="s">
        <v>299</v>
      </c>
      <c r="P6" s="104" t="s">
        <v>100</v>
      </c>
      <c r="Q6" s="104" t="s">
        <v>101</v>
      </c>
      <c r="R6" s="104" t="s">
        <v>102</v>
      </c>
      <c r="S6" s="104" t="s">
        <v>103</v>
      </c>
      <c r="T6" s="108" t="s">
        <v>104</v>
      </c>
      <c r="U6" s="104" t="s">
        <v>105</v>
      </c>
      <c r="V6" s="104" t="s">
        <v>106</v>
      </c>
      <c r="W6" s="108" t="s">
        <v>107</v>
      </c>
      <c r="X6" s="108" t="s">
        <v>108</v>
      </c>
      <c r="Y6" s="108" t="s">
        <v>109</v>
      </c>
      <c r="Z6" s="108" t="s">
        <v>110</v>
      </c>
      <c r="AA6" s="104" t="s">
        <v>111</v>
      </c>
      <c r="AB6" s="108"/>
      <c r="AC6" s="104" t="s">
        <v>112</v>
      </c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 t="s">
        <v>113</v>
      </c>
      <c r="AY6" s="104" t="s">
        <v>114</v>
      </c>
      <c r="AZ6" s="104" t="s">
        <v>115</v>
      </c>
      <c r="BA6" s="104"/>
      <c r="BB6" s="109" t="s">
        <v>113</v>
      </c>
      <c r="BC6" s="109" t="s">
        <v>116</v>
      </c>
      <c r="BD6" s="110" t="s">
        <v>117</v>
      </c>
      <c r="BE6" s="17"/>
      <c r="BF6" s="17"/>
      <c r="BG6" s="17"/>
      <c r="BH6" s="17"/>
    </row>
    <row r="7" spans="1:56" ht="12.75">
      <c r="A7" s="111" t="s">
        <v>118</v>
      </c>
      <c r="B7" s="112"/>
      <c r="C7" s="113">
        <v>1</v>
      </c>
      <c r="D7" s="114" t="s">
        <v>293</v>
      </c>
      <c r="E7" s="127"/>
      <c r="F7" s="115">
        <f>(F9+F61+F74+F92)</f>
        <v>8920.938825598163</v>
      </c>
      <c r="G7" s="115"/>
      <c r="H7" s="116">
        <f>(H9+H61+H74+H92)</f>
        <v>210.5397205467476</v>
      </c>
      <c r="I7" s="117"/>
      <c r="J7" s="118">
        <f>H7-K7</f>
        <v>94.24401094674758</v>
      </c>
      <c r="K7" s="119">
        <v>116.29570960000001</v>
      </c>
      <c r="L7" s="131"/>
      <c r="M7" s="131"/>
      <c r="N7" s="131"/>
      <c r="O7" s="131"/>
      <c r="P7" s="113">
        <f>SUM(P11:P113)</f>
        <v>0.7386188838055341</v>
      </c>
      <c r="Q7" s="113">
        <f>SUM(Q11:Q113)</f>
        <v>1.0000000000000004</v>
      </c>
      <c r="R7" s="115">
        <f>SUM(R11:R113)</f>
        <v>11202.21128531325</v>
      </c>
      <c r="S7" s="120">
        <f>SUM(S11:S113)</f>
        <v>0.9999999999999998</v>
      </c>
      <c r="T7" s="121">
        <f>H7-K7</f>
        <v>94.24401094674758</v>
      </c>
      <c r="U7" s="117"/>
      <c r="V7" s="117"/>
      <c r="W7" s="121"/>
      <c r="X7" s="121"/>
      <c r="Y7" s="115">
        <f>SUM(Y11:Y113)</f>
        <v>12.021313575841843</v>
      </c>
      <c r="Z7" s="115">
        <f>SUM(Z11:Z113)</f>
        <v>27.266111377891388</v>
      </c>
      <c r="AA7" s="121">
        <f>T7-Y7</f>
        <v>82.22269737090573</v>
      </c>
      <c r="AB7" s="115"/>
      <c r="AC7" s="117"/>
      <c r="AD7" s="115">
        <f>SUM(AD11:AD113)</f>
        <v>41.70100183361686</v>
      </c>
      <c r="AE7" s="115">
        <f>SUM(AE11:AE113)</f>
        <v>29.863841312590633</v>
      </c>
      <c r="AF7" s="122">
        <f>$T7-AD7</f>
        <v>52.54300911313072</v>
      </c>
      <c r="AG7" s="117"/>
      <c r="AH7" s="117"/>
      <c r="AI7" s="115">
        <f>SUM(AI11:AI113)</f>
        <v>56.03712987563365</v>
      </c>
      <c r="AJ7" s="115">
        <f>SUM(AJ11:AJ113)</f>
        <v>33.806346790677495</v>
      </c>
      <c r="AK7" s="122">
        <f>$T7-AI7</f>
        <v>38.206881071113926</v>
      </c>
      <c r="AL7" s="117"/>
      <c r="AM7" s="117"/>
      <c r="AN7" s="115">
        <f>SUM(AN11:AN113)</f>
        <v>62.39635133707053</v>
      </c>
      <c r="AO7" s="115">
        <f>SUM(AO11:AO113)</f>
        <v>31.653075397290287</v>
      </c>
      <c r="AP7" s="122">
        <f>$T7-AN7</f>
        <v>31.847659609677052</v>
      </c>
      <c r="AQ7" s="117"/>
      <c r="AR7" s="117"/>
      <c r="AS7" s="115">
        <f>SUM(AS11:AS113)</f>
        <v>62.39635133707053</v>
      </c>
      <c r="AT7" s="115">
        <f>SUM(AT11:AT113)</f>
        <v>31.847659609677063</v>
      </c>
      <c r="AU7" s="122">
        <f>$T7-AS7</f>
        <v>31.847659609677052</v>
      </c>
      <c r="AV7" s="117"/>
      <c r="AW7" s="117"/>
      <c r="AX7" s="115">
        <f>SUM(AX11:AX113)</f>
        <v>62.39635133707053</v>
      </c>
      <c r="AY7" s="115">
        <f>SUM(AY11:AY113)</f>
        <v>31.847659609677052</v>
      </c>
      <c r="AZ7" s="122">
        <f>$T7-AX7</f>
        <v>31.847659609677052</v>
      </c>
      <c r="BA7" s="122"/>
      <c r="BB7" s="117">
        <f>SUM(BB11:BB113)</f>
        <v>62.39635133707053</v>
      </c>
      <c r="BC7" s="121">
        <f>SUM(BC11:BC113)</f>
        <v>31.847659609677052</v>
      </c>
      <c r="BD7" s="123">
        <f>H7-K7</f>
        <v>94.24401094674758</v>
      </c>
    </row>
    <row r="8" spans="1:57" ht="12.75">
      <c r="A8" s="4"/>
      <c r="B8" s="3"/>
      <c r="C8" s="3"/>
      <c r="D8" s="124">
        <f>SUM(D11:D113)</f>
        <v>336.38495478532826</v>
      </c>
      <c r="E8" s="130">
        <f>SUM(E11:E113)</f>
        <v>0.9999999999999991</v>
      </c>
      <c r="F8" s="3"/>
      <c r="G8" s="3"/>
      <c r="H8" s="6"/>
      <c r="L8" s="130">
        <f>SUM(L11:L113)</f>
        <v>0.6419057022530499</v>
      </c>
      <c r="M8" s="130">
        <f>SUM(M11:M113)</f>
        <v>1.0000000000000002</v>
      </c>
      <c r="N8" s="141">
        <f>SUM(N11:N113)</f>
        <v>28250.370432445954</v>
      </c>
      <c r="O8" s="130">
        <f>SUM(O11:O113)</f>
        <v>1.0000000000000004</v>
      </c>
      <c r="BD8" s="15">
        <f>SUM(BD9+BD61+BD74+BD92)</f>
        <v>94.24401094674758</v>
      </c>
      <c r="BE8" t="s">
        <v>0</v>
      </c>
    </row>
    <row r="9" spans="1:57" ht="12.75">
      <c r="A9" s="1" t="s">
        <v>1</v>
      </c>
      <c r="B9" s="3"/>
      <c r="C9" s="4">
        <v>0.4582805578767501</v>
      </c>
      <c r="D9" s="3"/>
      <c r="E9" s="128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32"/>
      <c r="M9" s="132"/>
      <c r="N9" s="142"/>
      <c r="O9" s="132"/>
      <c r="BD9" s="15">
        <f>SUM(BD10+BD14+BD18+BD21+BD24+BD28+BD36+BD39+BD43+BD50+BD53+BD56+BD58)</f>
        <v>51.34334676949297</v>
      </c>
      <c r="BE9" t="s">
        <v>0</v>
      </c>
    </row>
    <row r="10" spans="1:57" ht="12.75">
      <c r="A10" s="1" t="s">
        <v>2</v>
      </c>
      <c r="B10" s="3"/>
      <c r="C10" s="4">
        <v>0.08419629092713042</v>
      </c>
      <c r="D10" s="3"/>
      <c r="E10" s="128"/>
      <c r="F10" s="5">
        <f>SUM(F11:F13)</f>
        <v>724.6565953296616</v>
      </c>
      <c r="G10" s="7"/>
      <c r="H10" s="6">
        <f>SUM(H11:H13)</f>
        <v>18.42706718979885</v>
      </c>
      <c r="J10" t="s">
        <v>0</v>
      </c>
      <c r="L10" s="132"/>
      <c r="M10" s="132"/>
      <c r="N10" s="142"/>
      <c r="O10" s="132"/>
      <c r="P10" s="4"/>
      <c r="AG10" t="s">
        <v>0</v>
      </c>
      <c r="BD10" s="15">
        <f>SUM(BB11:BC13)</f>
        <v>4.73834827159682</v>
      </c>
      <c r="BE10" t="s">
        <v>0</v>
      </c>
    </row>
    <row r="11" spans="1:56" ht="12.75">
      <c r="A11" s="1" t="s">
        <v>3</v>
      </c>
      <c r="B11" s="1" t="s">
        <v>119</v>
      </c>
      <c r="C11" s="4">
        <v>0.04059439146731342</v>
      </c>
      <c r="D11" s="5">
        <v>19.969700075450806</v>
      </c>
      <c r="E11" s="129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78">
        <v>0.4927</v>
      </c>
      <c r="J11" s="78">
        <v>0.4927</v>
      </c>
      <c r="K11" s="13">
        <f>J11-I11</f>
        <v>0</v>
      </c>
      <c r="L11" s="133">
        <v>0.05936561606387814</v>
      </c>
      <c r="M11" s="133">
        <f>L11/$L$8</f>
        <v>0.09248339102691945</v>
      </c>
      <c r="N11" s="142">
        <f>1/M11</f>
        <v>10.812752310400542</v>
      </c>
      <c r="O11" s="133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4</v>
      </c>
      <c r="B12" s="1" t="s">
        <v>119</v>
      </c>
      <c r="C12" s="4">
        <v>0.010260558372836513</v>
      </c>
      <c r="D12" s="5">
        <v>3.1977760029764464</v>
      </c>
      <c r="E12" s="129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78">
        <v>0.6730684326710816</v>
      </c>
      <c r="J12" s="78">
        <v>0.6730684326710816</v>
      </c>
      <c r="K12" s="13">
        <f aca="true" t="shared" si="5" ref="K12:K59">J12-I12</f>
        <v>0</v>
      </c>
      <c r="L12" s="133">
        <v>0.009506299129867982</v>
      </c>
      <c r="M12" s="133">
        <f aca="true" t="shared" si="6" ref="M12:M73">L12/$L$8</f>
        <v>0.014809494753670908</v>
      </c>
      <c r="N12" s="142">
        <f aca="true" t="shared" si="7" ref="N12:N73">1/M12</f>
        <v>67.52424823622863</v>
      </c>
      <c r="O12" s="133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5</v>
      </c>
      <c r="B13" s="1" t="s">
        <v>119</v>
      </c>
      <c r="C13" s="4">
        <v>0.03334134108698049</v>
      </c>
      <c r="D13" s="5">
        <v>7.428063112035649</v>
      </c>
      <c r="E13" s="129">
        <f t="shared" si="4"/>
        <v>0.022082031334534676</v>
      </c>
      <c r="F13" s="134">
        <f>G13*$D13</f>
        <v>286.9606540830515</v>
      </c>
      <c r="G13" s="134">
        <v>38.63196229688609</v>
      </c>
      <c r="H13" s="135">
        <f>I13*$D13</f>
        <v>6.435673880267686</v>
      </c>
      <c r="I13" s="136">
        <v>0.8664</v>
      </c>
      <c r="J13" s="136">
        <v>0.8664</v>
      </c>
      <c r="K13" s="137">
        <f t="shared" si="5"/>
        <v>0</v>
      </c>
      <c r="L13" s="133">
        <v>0.022082031334534676</v>
      </c>
      <c r="M13" s="133">
        <f t="shared" si="6"/>
        <v>0.034400740259866974</v>
      </c>
      <c r="N13" s="142">
        <f t="shared" si="7"/>
        <v>29.069141897700167</v>
      </c>
      <c r="O13" s="133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6</v>
      </c>
      <c r="B14" s="3"/>
      <c r="C14" s="4">
        <v>0.08606229936059971</v>
      </c>
      <c r="D14" s="5"/>
      <c r="E14" s="129"/>
      <c r="F14" s="134">
        <f>SUM(F15:F17)</f>
        <v>740.7168671464403</v>
      </c>
      <c r="G14" s="128"/>
      <c r="H14" s="135">
        <f>SUM(H15:H17)</f>
        <v>15.004649267425076</v>
      </c>
      <c r="I14" s="136"/>
      <c r="J14" s="136"/>
      <c r="K14" s="137">
        <f t="shared" si="5"/>
        <v>0</v>
      </c>
      <c r="L14" s="133"/>
      <c r="M14" s="133"/>
      <c r="N14" s="142"/>
      <c r="O14" s="133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7</v>
      </c>
      <c r="B15" s="1" t="s">
        <v>119</v>
      </c>
      <c r="C15" s="4">
        <v>0.025697175338992396</v>
      </c>
      <c r="D15" s="5">
        <v>2.7061530135122718</v>
      </c>
      <c r="E15" s="129">
        <f t="shared" si="4"/>
        <v>0.008044809897158644</v>
      </c>
      <c r="F15" s="134">
        <f>G15*$D15</f>
        <v>221.16921524322348</v>
      </c>
      <c r="G15" s="134">
        <v>81.72827409939084</v>
      </c>
      <c r="H15" s="135">
        <f>I15*$D15</f>
        <v>4.462175703980385</v>
      </c>
      <c r="I15" s="136">
        <v>1.6489</v>
      </c>
      <c r="J15" s="136">
        <v>1.6489</v>
      </c>
      <c r="K15" s="137">
        <f t="shared" si="5"/>
        <v>0</v>
      </c>
      <c r="L15" s="133">
        <v>0.008044809897158644</v>
      </c>
      <c r="M15" s="133">
        <f t="shared" si="6"/>
        <v>0.012532697355580193</v>
      </c>
      <c r="N15" s="142">
        <f t="shared" si="7"/>
        <v>79.79128288410709</v>
      </c>
      <c r="O15" s="133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8</v>
      </c>
      <c r="B16" s="1" t="s">
        <v>119</v>
      </c>
      <c r="C16" s="4">
        <v>0.046891050325212215</v>
      </c>
      <c r="D16" s="5">
        <v>3.8397504283348596</v>
      </c>
      <c r="E16" s="129">
        <f t="shared" si="4"/>
        <v>0.011414750789865985</v>
      </c>
      <c r="F16" s="134">
        <f>G16*$D16</f>
        <v>403.5796411686209</v>
      </c>
      <c r="G16" s="134">
        <v>105.10569598233931</v>
      </c>
      <c r="H16" s="135">
        <f>I16*$D16</f>
        <v>8.308068001788136</v>
      </c>
      <c r="I16" s="136">
        <v>2.1637</v>
      </c>
      <c r="J16" s="136">
        <v>2.1637</v>
      </c>
      <c r="K16" s="137">
        <f t="shared" si="5"/>
        <v>0</v>
      </c>
      <c r="L16" s="133">
        <v>0.011414750789865985</v>
      </c>
      <c r="M16" s="133">
        <f t="shared" si="6"/>
        <v>0.017782597583727494</v>
      </c>
      <c r="N16" s="142">
        <f t="shared" si="7"/>
        <v>56.234753966151736</v>
      </c>
      <c r="O16" s="133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9</v>
      </c>
      <c r="B17" s="1" t="s">
        <v>119</v>
      </c>
      <c r="C17" s="4">
        <v>0.013474073696395106</v>
      </c>
      <c r="D17" s="5">
        <v>1.4166913274515311</v>
      </c>
      <c r="E17" s="129">
        <f t="shared" si="4"/>
        <v>0.004211518105367183</v>
      </c>
      <c r="F17" s="134">
        <f>G17*$D17</f>
        <v>115.96801073459599</v>
      </c>
      <c r="G17" s="134">
        <v>81.85834732482583</v>
      </c>
      <c r="H17" s="135">
        <f>I17*$D17</f>
        <v>2.234405561656555</v>
      </c>
      <c r="I17" s="136">
        <v>1.5772</v>
      </c>
      <c r="J17" s="136">
        <v>1.5772</v>
      </c>
      <c r="K17" s="137">
        <f t="shared" si="5"/>
        <v>0</v>
      </c>
      <c r="L17" s="133">
        <v>0.004211518105367183</v>
      </c>
      <c r="M17" s="133">
        <f t="shared" si="6"/>
        <v>0.00656096073081297</v>
      </c>
      <c r="N17" s="142">
        <f t="shared" si="7"/>
        <v>152.4167025270535</v>
      </c>
      <c r="O17" s="133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10</v>
      </c>
      <c r="B18" s="3"/>
      <c r="C18" s="4">
        <v>0.01592824798809393</v>
      </c>
      <c r="D18" s="5"/>
      <c r="E18" s="129"/>
      <c r="F18" s="134">
        <f>SUM(F19:F20)</f>
        <v>137.0904802280234</v>
      </c>
      <c r="G18" s="128"/>
      <c r="H18" s="135">
        <f>SUM(H19:H20)</f>
        <v>3.5419986315495864</v>
      </c>
      <c r="I18" s="136"/>
      <c r="J18" s="136"/>
      <c r="K18" s="137">
        <f t="shared" si="5"/>
        <v>0</v>
      </c>
      <c r="L18" s="133"/>
      <c r="M18" s="133"/>
      <c r="N18" s="142"/>
      <c r="O18" s="133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11</v>
      </c>
      <c r="B19" s="1" t="s">
        <v>119</v>
      </c>
      <c r="C19" s="4">
        <v>0.010553148495204499</v>
      </c>
      <c r="D19" s="5">
        <v>0.7711706426471154</v>
      </c>
      <c r="E19" s="129">
        <f t="shared" si="4"/>
        <v>0.0022925241800402624</v>
      </c>
      <c r="F19" s="134">
        <f>G19*$D19</f>
        <v>90.82833191739832</v>
      </c>
      <c r="G19" s="134">
        <v>117.77981019300938</v>
      </c>
      <c r="H19" s="135">
        <f>I19*$D19</f>
        <v>2.7086597652337283</v>
      </c>
      <c r="I19" s="136">
        <v>3.5124</v>
      </c>
      <c r="J19" s="136">
        <v>3.5124</v>
      </c>
      <c r="K19" s="137">
        <f t="shared" si="5"/>
        <v>0</v>
      </c>
      <c r="L19" s="133">
        <v>0.0022925241800402624</v>
      </c>
      <c r="M19" s="133">
        <f t="shared" si="6"/>
        <v>0.003571434514436688</v>
      </c>
      <c r="N19" s="142">
        <f t="shared" si="7"/>
        <v>279.999534068939</v>
      </c>
      <c r="O19" s="133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264</v>
      </c>
      <c r="B20" s="1" t="s">
        <v>120</v>
      </c>
      <c r="C20" s="4">
        <v>0.005375099492889428</v>
      </c>
      <c r="D20" s="5">
        <v>1.4333313834122088</v>
      </c>
      <c r="E20" s="129">
        <f t="shared" si="4"/>
        <v>0.0042609854068144095</v>
      </c>
      <c r="F20" s="134">
        <f>G20*$D20</f>
        <v>46.26214831062508</v>
      </c>
      <c r="G20" s="134">
        <v>32.27596133456086</v>
      </c>
      <c r="H20" s="135">
        <f>I20*$D20</f>
        <v>0.8333388663158582</v>
      </c>
      <c r="I20" s="136">
        <v>0.5814</v>
      </c>
      <c r="J20" s="136">
        <v>0.5814</v>
      </c>
      <c r="K20" s="137">
        <f t="shared" si="5"/>
        <v>0</v>
      </c>
      <c r="L20" s="133">
        <v>0.0042609854068144095</v>
      </c>
      <c r="M20" s="133">
        <f t="shared" si="6"/>
        <v>0.006638023921361986</v>
      </c>
      <c r="N20" s="142">
        <f t="shared" si="7"/>
        <v>150.6472425900539</v>
      </c>
      <c r="O20" s="133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12</v>
      </c>
      <c r="B21" s="3"/>
      <c r="C21" s="4">
        <v>0.019706044261933637</v>
      </c>
      <c r="D21" s="5"/>
      <c r="E21" s="129"/>
      <c r="F21" s="134">
        <f>SUM(F22:F23)</f>
        <v>169.60503586348585</v>
      </c>
      <c r="G21" s="128"/>
      <c r="H21" s="135">
        <f>SUM(H22:H23)</f>
        <v>3.6927581644000895</v>
      </c>
      <c r="I21" s="136"/>
      <c r="J21" s="136"/>
      <c r="K21" s="137">
        <f t="shared" si="5"/>
        <v>0</v>
      </c>
      <c r="L21" s="133"/>
      <c r="M21" s="133"/>
      <c r="N21" s="142"/>
      <c r="O21" s="133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13</v>
      </c>
      <c r="B22" s="1" t="s">
        <v>121</v>
      </c>
      <c r="C22" s="4">
        <v>0.012325607705875869</v>
      </c>
      <c r="D22" s="5">
        <v>2.365470767617115</v>
      </c>
      <c r="E22" s="129">
        <f t="shared" si="4"/>
        <v>0.007032034976494993</v>
      </c>
      <c r="F22" s="134">
        <f>G22*$D22</f>
        <v>106.08344877376256</v>
      </c>
      <c r="G22" s="134">
        <v>44.846653877962304</v>
      </c>
      <c r="H22" s="135">
        <f>I22*$D22</f>
        <v>2.378717403915771</v>
      </c>
      <c r="I22" s="136">
        <v>1.0056</v>
      </c>
      <c r="J22" s="136">
        <v>1.0056</v>
      </c>
      <c r="K22" s="137">
        <f t="shared" si="5"/>
        <v>0</v>
      </c>
      <c r="L22" s="133">
        <v>0.007032034976494993</v>
      </c>
      <c r="M22" s="133">
        <f t="shared" si="6"/>
        <v>0.010954934582779026</v>
      </c>
      <c r="N22" s="142">
        <f t="shared" si="7"/>
        <v>91.28306448967604</v>
      </c>
      <c r="O22" s="133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14</v>
      </c>
      <c r="B23" s="1" t="s">
        <v>122</v>
      </c>
      <c r="C23" s="4">
        <v>0.0073804365560577664</v>
      </c>
      <c r="D23" s="5">
        <v>2.9331266975096395</v>
      </c>
      <c r="E23" s="129">
        <f t="shared" si="4"/>
        <v>0.008719553760605854</v>
      </c>
      <c r="F23" s="134">
        <f>G23*$D23</f>
        <v>63.5215870897233</v>
      </c>
      <c r="G23" s="134">
        <v>21.656612086909192</v>
      </c>
      <c r="H23" s="135">
        <f>I23*$D23</f>
        <v>1.3140407604843185</v>
      </c>
      <c r="I23" s="136">
        <v>0.448</v>
      </c>
      <c r="J23" s="136">
        <v>0.448</v>
      </c>
      <c r="K23" s="137">
        <f t="shared" si="5"/>
        <v>0</v>
      </c>
      <c r="L23" s="133">
        <v>0.008719553760605854</v>
      </c>
      <c r="M23" s="133">
        <f t="shared" si="6"/>
        <v>0.013583854653418333</v>
      </c>
      <c r="N23" s="142">
        <f t="shared" si="7"/>
        <v>73.61680653350875</v>
      </c>
      <c r="O23" s="133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15</v>
      </c>
      <c r="B24" s="3"/>
      <c r="C24" s="4">
        <v>0.06987430299856687</v>
      </c>
      <c r="D24" s="5"/>
      <c r="E24" s="129"/>
      <c r="F24" s="134">
        <f>SUM(F25:F27)</f>
        <v>601.3907970815214</v>
      </c>
      <c r="G24" s="128"/>
      <c r="H24" s="135">
        <f>SUM(H25:H27)</f>
        <v>14.369095301875735</v>
      </c>
      <c r="I24" s="136"/>
      <c r="J24" s="136"/>
      <c r="K24" s="137">
        <f t="shared" si="5"/>
        <v>0</v>
      </c>
      <c r="L24" s="133"/>
      <c r="M24" s="133"/>
      <c r="N24" s="142"/>
      <c r="O24" s="133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16</v>
      </c>
      <c r="B25" s="1" t="s">
        <v>119</v>
      </c>
      <c r="C25" s="4">
        <v>0.012939648881049499</v>
      </c>
      <c r="D25" s="5">
        <v>2.2290060155810236</v>
      </c>
      <c r="E25" s="129">
        <f t="shared" si="4"/>
        <v>0.006626354668577596</v>
      </c>
      <c r="F25" s="134">
        <f>G25*$D25</f>
        <v>111.36834888627054</v>
      </c>
      <c r="G25" s="134">
        <v>49.9632338844275</v>
      </c>
      <c r="H25" s="135">
        <f>I25*$D25</f>
        <v>2.3203952622198454</v>
      </c>
      <c r="I25" s="136">
        <v>1.041</v>
      </c>
      <c r="J25" s="136">
        <v>1.041</v>
      </c>
      <c r="K25" s="137">
        <f t="shared" si="5"/>
        <v>0</v>
      </c>
      <c r="L25" s="133">
        <v>0.006626354668577596</v>
      </c>
      <c r="M25" s="133">
        <f t="shared" si="6"/>
        <v>0.010322940963632968</v>
      </c>
      <c r="N25" s="142">
        <f t="shared" si="7"/>
        <v>96.87161861362313</v>
      </c>
      <c r="O25" s="133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17</v>
      </c>
      <c r="B26" s="1" t="s">
        <v>121</v>
      </c>
      <c r="C26" s="4">
        <v>0.04174385266233051</v>
      </c>
      <c r="D26" s="5">
        <v>29.14928336422141</v>
      </c>
      <c r="E26" s="129">
        <f t="shared" si="4"/>
        <v>0.08665453953736929</v>
      </c>
      <c r="F26" s="134">
        <f>G26*$D26</f>
        <v>359.27898738921846</v>
      </c>
      <c r="G26" s="134">
        <v>12.325482685114888</v>
      </c>
      <c r="H26" s="135">
        <f>I26*$D26</f>
        <v>10.38880459100851</v>
      </c>
      <c r="I26" s="136">
        <v>0.3564</v>
      </c>
      <c r="J26" s="136">
        <v>0.3564</v>
      </c>
      <c r="K26" s="137">
        <f t="shared" si="5"/>
        <v>0</v>
      </c>
      <c r="L26" s="133">
        <v>0.08665453953736929</v>
      </c>
      <c r="M26" s="133">
        <f t="shared" si="6"/>
        <v>0.13499574662324565</v>
      </c>
      <c r="N26" s="142">
        <f t="shared" si="7"/>
        <v>7.407640796201238</v>
      </c>
      <c r="O26" s="133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18</v>
      </c>
      <c r="B27" s="1" t="s">
        <v>119</v>
      </c>
      <c r="C27" s="4">
        <v>0.015190801455186859</v>
      </c>
      <c r="D27" s="5">
        <v>0.9706990927762448</v>
      </c>
      <c r="E27" s="129">
        <f t="shared" si="4"/>
        <v>0.0028856792759822405</v>
      </c>
      <c r="F27" s="134">
        <f>G27*$D27</f>
        <v>130.7434608060324</v>
      </c>
      <c r="G27" s="134">
        <v>134.69</v>
      </c>
      <c r="H27" s="135">
        <f>I27*$D27</f>
        <v>1.6598954486473785</v>
      </c>
      <c r="I27" s="136">
        <v>1.71</v>
      </c>
      <c r="J27" s="136">
        <v>1.71</v>
      </c>
      <c r="K27" s="137">
        <f t="shared" si="5"/>
        <v>0</v>
      </c>
      <c r="L27" s="133">
        <v>0.0028856792759822405</v>
      </c>
      <c r="M27" s="133">
        <f t="shared" si="6"/>
        <v>0.0044954878354463625</v>
      </c>
      <c r="N27" s="142">
        <f t="shared" si="7"/>
        <v>222.4452688126802</v>
      </c>
      <c r="O27" s="133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19</v>
      </c>
      <c r="B28" s="3"/>
      <c r="C28" s="4">
        <v>0.031115068625289385</v>
      </c>
      <c r="D28" s="5"/>
      <c r="E28" s="129"/>
      <c r="F28" s="134">
        <f>SUM(F29:F35)</f>
        <v>267.7996791208467</v>
      </c>
      <c r="G28" s="128"/>
      <c r="H28" s="135">
        <f>SUM(H29:H35)</f>
        <v>6.022754007744842</v>
      </c>
      <c r="I28" s="136"/>
      <c r="J28" s="136"/>
      <c r="K28" s="137">
        <f t="shared" si="5"/>
        <v>0</v>
      </c>
      <c r="L28" s="133"/>
      <c r="M28" s="133"/>
      <c r="N28" s="142"/>
      <c r="O28" s="133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20</v>
      </c>
      <c r="B29" s="1" t="s">
        <v>119</v>
      </c>
      <c r="C29" s="4">
        <v>0.004960099217285856</v>
      </c>
      <c r="D29" s="5">
        <v>0.6276992391991798</v>
      </c>
      <c r="E29" s="129">
        <f t="shared" si="4"/>
        <v>0.0018660146069843118</v>
      </c>
      <c r="F29" s="134">
        <f aca="true" t="shared" si="41" ref="F29:F35">G29*$D29</f>
        <v>42.69034385857348</v>
      </c>
      <c r="G29" s="134">
        <v>68.01082619287212</v>
      </c>
      <c r="H29" s="135">
        <f aca="true" t="shared" si="42" ref="H29:H35">I29*$D29</f>
        <v>1.4293967075043723</v>
      </c>
      <c r="I29" s="136">
        <v>2.2772</v>
      </c>
      <c r="J29" s="136">
        <v>2.2772</v>
      </c>
      <c r="K29" s="137">
        <f t="shared" si="5"/>
        <v>0</v>
      </c>
      <c r="L29" s="133">
        <v>0.0018660146069843118</v>
      </c>
      <c r="M29" s="133">
        <f t="shared" si="6"/>
        <v>0.002906991790904356</v>
      </c>
      <c r="N29" s="142">
        <f t="shared" si="7"/>
        <v>343.9982194407584</v>
      </c>
      <c r="O29" s="133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21</v>
      </c>
      <c r="B30" s="1" t="s">
        <v>123</v>
      </c>
      <c r="C30" s="4">
        <v>0.002267075846102966</v>
      </c>
      <c r="D30" s="5">
        <v>0.7816105582277685</v>
      </c>
      <c r="E30" s="129">
        <f t="shared" si="4"/>
        <v>0.0023235597998922724</v>
      </c>
      <c r="F30" s="134">
        <f t="shared" si="41"/>
        <v>19.512159572598396</v>
      </c>
      <c r="G30" s="134">
        <v>24.9640429843226</v>
      </c>
      <c r="H30" s="135">
        <f t="shared" si="42"/>
        <v>0.2292463767282045</v>
      </c>
      <c r="I30" s="136">
        <v>0.2933</v>
      </c>
      <c r="J30" s="136">
        <v>0.2933</v>
      </c>
      <c r="K30" s="137">
        <f t="shared" si="5"/>
        <v>0</v>
      </c>
      <c r="L30" s="133">
        <v>0.0023235597998922724</v>
      </c>
      <c r="M30" s="133">
        <f t="shared" si="6"/>
        <v>0.003619783703021673</v>
      </c>
      <c r="N30" s="142">
        <f t="shared" si="7"/>
        <v>276.2596005847625</v>
      </c>
      <c r="O30" s="133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22</v>
      </c>
      <c r="B31" s="1" t="s">
        <v>123</v>
      </c>
      <c r="C31" s="4">
        <v>0.007893962076948518</v>
      </c>
      <c r="D31" s="5">
        <v>3.6332391662468217</v>
      </c>
      <c r="E31" s="129">
        <f t="shared" si="4"/>
        <v>0.010800837298343073</v>
      </c>
      <c r="F31" s="134">
        <f t="shared" si="41"/>
        <v>67.9413738937008</v>
      </c>
      <c r="G31" s="134">
        <v>18.699945361396352</v>
      </c>
      <c r="H31" s="135">
        <f t="shared" si="42"/>
        <v>1.4267730205851268</v>
      </c>
      <c r="I31" s="136">
        <v>0.3927</v>
      </c>
      <c r="J31" s="136">
        <v>0.3927</v>
      </c>
      <c r="K31" s="137">
        <f t="shared" si="5"/>
        <v>0</v>
      </c>
      <c r="L31" s="133">
        <v>0.010800837298343073</v>
      </c>
      <c r="M31" s="133">
        <f t="shared" si="6"/>
        <v>0.016826205563266992</v>
      </c>
      <c r="N31" s="142">
        <f t="shared" si="7"/>
        <v>59.43110561914703</v>
      </c>
      <c r="O31" s="133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23</v>
      </c>
      <c r="B32" s="1" t="s">
        <v>119</v>
      </c>
      <c r="C32" s="4">
        <v>0.002318826479991181</v>
      </c>
      <c r="D32" s="5">
        <v>0.674380234854155</v>
      </c>
      <c r="E32" s="129">
        <f t="shared" si="4"/>
        <v>0.002004787150140309</v>
      </c>
      <c r="F32" s="134">
        <f t="shared" si="41"/>
        <v>19.957564444317057</v>
      </c>
      <c r="G32" s="134">
        <v>29.59393441985023</v>
      </c>
      <c r="H32" s="135">
        <f t="shared" si="42"/>
        <v>0.3709091291697853</v>
      </c>
      <c r="I32" s="136">
        <v>0.55</v>
      </c>
      <c r="J32" s="136">
        <v>0.55</v>
      </c>
      <c r="K32" s="137">
        <f t="shared" si="5"/>
        <v>0</v>
      </c>
      <c r="L32" s="133">
        <v>0.002004787150140309</v>
      </c>
      <c r="M32" s="133">
        <f t="shared" si="6"/>
        <v>0.0031231801541934095</v>
      </c>
      <c r="N32" s="142">
        <f t="shared" si="7"/>
        <v>320.18646079616224</v>
      </c>
      <c r="O32" s="133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232</v>
      </c>
      <c r="B33" s="1" t="s">
        <v>119</v>
      </c>
      <c r="C33" s="4">
        <v>0.002738802778084004</v>
      </c>
      <c r="D33" s="5">
        <v>0.4979344488377092</v>
      </c>
      <c r="E33" s="129">
        <f t="shared" si="4"/>
        <v>0.0014802518416897612</v>
      </c>
      <c r="F33" s="134">
        <f t="shared" si="41"/>
        <v>23.572196287880065</v>
      </c>
      <c r="G33" s="134">
        <v>47.33995878956128</v>
      </c>
      <c r="H33" s="135">
        <f t="shared" si="42"/>
        <v>0.5362256079533291</v>
      </c>
      <c r="I33" s="136">
        <v>1.0769</v>
      </c>
      <c r="J33" s="136">
        <v>1.0769</v>
      </c>
      <c r="K33" s="137">
        <f t="shared" si="5"/>
        <v>0</v>
      </c>
      <c r="L33" s="133">
        <v>0.0014802518416897612</v>
      </c>
      <c r="M33" s="133">
        <f t="shared" si="6"/>
        <v>0.002306026938994571</v>
      </c>
      <c r="N33" s="142">
        <f t="shared" si="7"/>
        <v>433.6462784064442</v>
      </c>
      <c r="O33" s="133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24</v>
      </c>
      <c r="B34" s="1" t="s">
        <v>123</v>
      </c>
      <c r="C34" s="4">
        <v>0.0019297015213317165</v>
      </c>
      <c r="D34" s="5">
        <v>0.3950979309193895</v>
      </c>
      <c r="E34" s="129">
        <f t="shared" si="4"/>
        <v>0.0011745410289575235</v>
      </c>
      <c r="F34" s="134">
        <f t="shared" si="41"/>
        <v>16.608462428124795</v>
      </c>
      <c r="G34" s="134">
        <v>42.03631841218972</v>
      </c>
      <c r="H34" s="135">
        <f t="shared" si="42"/>
        <v>0.3971129303670784</v>
      </c>
      <c r="I34" s="136">
        <v>1.0051</v>
      </c>
      <c r="J34" s="136">
        <v>1.0051</v>
      </c>
      <c r="K34" s="137">
        <f t="shared" si="5"/>
        <v>0</v>
      </c>
      <c r="L34" s="133">
        <v>0.0011745410289575235</v>
      </c>
      <c r="M34" s="133">
        <f t="shared" si="6"/>
        <v>0.0018297719195124083</v>
      </c>
      <c r="N34" s="142">
        <f t="shared" si="7"/>
        <v>546.5162020119299</v>
      </c>
      <c r="O34" s="133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233</v>
      </c>
      <c r="B35" s="1" t="s">
        <v>119</v>
      </c>
      <c r="C35" s="4">
        <v>0.009006600705545145</v>
      </c>
      <c r="D35" s="5">
        <v>3.9125305113486952</v>
      </c>
      <c r="E35" s="129">
        <f t="shared" si="4"/>
        <v>0.011631110296967848</v>
      </c>
      <c r="F35" s="134">
        <f t="shared" si="41"/>
        <v>77.5175786356521</v>
      </c>
      <c r="G35" s="134">
        <v>19.812645143802566</v>
      </c>
      <c r="H35" s="135">
        <f t="shared" si="42"/>
        <v>1.6330902354369454</v>
      </c>
      <c r="I35" s="136">
        <v>0.4174</v>
      </c>
      <c r="J35" s="136">
        <v>0.4174</v>
      </c>
      <c r="K35" s="137">
        <f t="shared" si="5"/>
        <v>0</v>
      </c>
      <c r="L35" s="133">
        <v>0.011631110296967848</v>
      </c>
      <c r="M35" s="133">
        <f t="shared" si="6"/>
        <v>0.018119655669272542</v>
      </c>
      <c r="N35" s="142">
        <f t="shared" si="7"/>
        <v>55.188686708644695</v>
      </c>
      <c r="O35" s="133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25</v>
      </c>
      <c r="B36" s="3"/>
      <c r="C36" s="4">
        <v>0.03216401416602359</v>
      </c>
      <c r="D36" s="5"/>
      <c r="E36" s="129"/>
      <c r="F36" s="134">
        <f>SUM(F37:F38)</f>
        <v>276.8276932514519</v>
      </c>
      <c r="G36" s="128"/>
      <c r="H36" s="135">
        <f>SUM(H37:H38)</f>
        <v>6.912689311565274</v>
      </c>
      <c r="I36" s="136"/>
      <c r="J36" s="136"/>
      <c r="K36" s="137">
        <f t="shared" si="5"/>
        <v>0</v>
      </c>
      <c r="L36" s="133"/>
      <c r="M36" s="133"/>
      <c r="N36" s="142"/>
      <c r="O36" s="133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26</v>
      </c>
      <c r="B37" s="1" t="s">
        <v>119</v>
      </c>
      <c r="C37" s="4">
        <v>0.028779323668834747</v>
      </c>
      <c r="D37" s="5">
        <v>18.871331296379697</v>
      </c>
      <c r="E37" s="129">
        <f t="shared" si="4"/>
        <v>0.05610040231562338</v>
      </c>
      <c r="F37" s="134">
        <f>G37*$D37</f>
        <v>247.69650154539082</v>
      </c>
      <c r="G37" s="134">
        <v>13.125544650520192</v>
      </c>
      <c r="H37" s="135">
        <f>I37*$D37</f>
        <v>6.437011105195115</v>
      </c>
      <c r="I37" s="136">
        <v>0.3411</v>
      </c>
      <c r="J37" s="136">
        <v>0.3411</v>
      </c>
      <c r="K37" s="137">
        <f t="shared" si="5"/>
        <v>0</v>
      </c>
      <c r="L37" s="133">
        <v>0.05610040231562338</v>
      </c>
      <c r="M37" s="133">
        <f t="shared" si="6"/>
        <v>0.08739664115572489</v>
      </c>
      <c r="N37" s="142">
        <f t="shared" si="7"/>
        <v>11.442087324822726</v>
      </c>
      <c r="O37" s="133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27</v>
      </c>
      <c r="B38" s="1" t="s">
        <v>123</v>
      </c>
      <c r="C38" s="4">
        <v>0.0033846904971888436</v>
      </c>
      <c r="D38" s="5">
        <v>2.7591543292932683</v>
      </c>
      <c r="E38" s="129">
        <f t="shared" si="4"/>
        <v>0.008202371390403253</v>
      </c>
      <c r="F38" s="134">
        <f>G38*$D38</f>
        <v>29.131191706061077</v>
      </c>
      <c r="G38" s="134">
        <v>10.558014604975996</v>
      </c>
      <c r="H38" s="135">
        <f>I38*$D38</f>
        <v>0.47567820637015945</v>
      </c>
      <c r="I38" s="136">
        <v>0.1724</v>
      </c>
      <c r="J38" s="136">
        <v>0.1724</v>
      </c>
      <c r="K38" s="137">
        <f t="shared" si="5"/>
        <v>0</v>
      </c>
      <c r="L38" s="133">
        <v>0.008202371390403253</v>
      </c>
      <c r="M38" s="133">
        <f t="shared" si="6"/>
        <v>0.01277815629556402</v>
      </c>
      <c r="N38" s="142">
        <f t="shared" si="7"/>
        <v>78.2585513018927</v>
      </c>
      <c r="O38" s="133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28</v>
      </c>
      <c r="B39" s="3"/>
      <c r="C39" s="4">
        <v>0.011085582901554404</v>
      </c>
      <c r="D39" s="5"/>
      <c r="E39" s="129"/>
      <c r="F39" s="134">
        <f>SUM(F40:F42)</f>
        <v>95.41086280911918</v>
      </c>
      <c r="G39" s="128"/>
      <c r="H39" s="135">
        <f>SUM(H40:H42)</f>
        <v>1.7968824359449667</v>
      </c>
      <c r="I39" s="136"/>
      <c r="J39" s="136"/>
      <c r="K39" s="137">
        <f t="shared" si="5"/>
        <v>0</v>
      </c>
      <c r="L39" s="133"/>
      <c r="M39" s="133"/>
      <c r="N39" s="142"/>
      <c r="O39" s="133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29</v>
      </c>
      <c r="B40" s="1" t="s">
        <v>119</v>
      </c>
      <c r="C40" s="4">
        <v>0.00435899570058428</v>
      </c>
      <c r="D40" s="5">
        <v>0.5705197305780351</v>
      </c>
      <c r="E40" s="129">
        <f t="shared" si="4"/>
        <v>0.00169603224657335</v>
      </c>
      <c r="F40" s="134">
        <f>G40*$D40</f>
        <v>37.51679496399515</v>
      </c>
      <c r="G40" s="134">
        <v>65.7589789681492</v>
      </c>
      <c r="H40" s="135">
        <f>I40*$D40</f>
        <v>0.452365094375324</v>
      </c>
      <c r="I40" s="136">
        <v>0.7929</v>
      </c>
      <c r="J40" s="136">
        <v>0.7929</v>
      </c>
      <c r="K40" s="137">
        <f t="shared" si="5"/>
        <v>0</v>
      </c>
      <c r="L40" s="133">
        <v>0.00169603224657335</v>
      </c>
      <c r="M40" s="133">
        <f t="shared" si="6"/>
        <v>0.0026421828636517485</v>
      </c>
      <c r="N40" s="142">
        <f t="shared" si="7"/>
        <v>378.4749397011472</v>
      </c>
      <c r="O40" s="133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261</v>
      </c>
      <c r="B41" s="1" t="s">
        <v>119</v>
      </c>
      <c r="C41" s="4">
        <v>0.0016570154889207365</v>
      </c>
      <c r="D41" s="5">
        <v>0.2726217567781287</v>
      </c>
      <c r="E41" s="129">
        <f t="shared" si="4"/>
        <v>0.0008104457494304658</v>
      </c>
      <c r="F41" s="134">
        <f>G41*$D41</f>
        <v>14.261521373299527</v>
      </c>
      <c r="G41" s="134">
        <v>52.312484307355426</v>
      </c>
      <c r="H41" s="135">
        <f>I41*$D41</f>
        <v>0.25083927841155623</v>
      </c>
      <c r="I41" s="136">
        <v>0.9201</v>
      </c>
      <c r="J41" s="136">
        <v>0.9201</v>
      </c>
      <c r="K41" s="137">
        <f t="shared" si="5"/>
        <v>0</v>
      </c>
      <c r="L41" s="133">
        <v>0.0008104457494304658</v>
      </c>
      <c r="M41" s="133">
        <f t="shared" si="6"/>
        <v>0.0012625620033999553</v>
      </c>
      <c r="N41" s="142">
        <f t="shared" si="7"/>
        <v>792.0403095508168</v>
      </c>
      <c r="O41" s="133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267</v>
      </c>
      <c r="B42" s="1" t="s">
        <v>123</v>
      </c>
      <c r="C42" s="4">
        <v>0.005069571712049388</v>
      </c>
      <c r="D42" s="5">
        <v>1.0197464458350456</v>
      </c>
      <c r="E42" s="129">
        <f t="shared" si="4"/>
        <v>0.0030314864898931646</v>
      </c>
      <c r="F42" s="134">
        <f>G42*$D42</f>
        <v>43.63254647182449</v>
      </c>
      <c r="G42" s="134">
        <v>42.78764260472108</v>
      </c>
      <c r="H42" s="135">
        <f>I42*$D42</f>
        <v>1.0936780631580865</v>
      </c>
      <c r="I42" s="136">
        <v>1.0725</v>
      </c>
      <c r="J42" s="136">
        <v>1.0725</v>
      </c>
      <c r="K42" s="137">
        <f t="shared" si="5"/>
        <v>0</v>
      </c>
      <c r="L42" s="133">
        <v>0.0030314864898931646</v>
      </c>
      <c r="M42" s="133">
        <f t="shared" si="6"/>
        <v>0.0047226352394951964</v>
      </c>
      <c r="N42" s="142">
        <f t="shared" si="7"/>
        <v>211.7461860355089</v>
      </c>
      <c r="O42" s="133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30</v>
      </c>
      <c r="B43" s="3"/>
      <c r="C43" s="4">
        <v>0.020282267666188954</v>
      </c>
      <c r="D43" s="5"/>
      <c r="E43" s="129"/>
      <c r="F43" s="134">
        <f>SUM(F44:F49)</f>
        <v>174.56444780050714</v>
      </c>
      <c r="G43" s="128"/>
      <c r="H43" s="135">
        <f>SUM(H44:H49)</f>
        <v>3.0728577203546443</v>
      </c>
      <c r="I43" s="136"/>
      <c r="J43" s="136"/>
      <c r="K43" s="137">
        <f t="shared" si="5"/>
        <v>0</v>
      </c>
      <c r="L43" s="133"/>
      <c r="M43" s="133"/>
      <c r="N43" s="142"/>
      <c r="O43" s="133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31</v>
      </c>
      <c r="B44" s="1" t="s">
        <v>119</v>
      </c>
      <c r="C44" s="4">
        <v>0.0013126747326645354</v>
      </c>
      <c r="D44" s="5">
        <v>0.3706352406949532</v>
      </c>
      <c r="E44" s="129">
        <f t="shared" si="4"/>
        <v>0.0011018187211478663</v>
      </c>
      <c r="F44" s="134">
        <f aca="true" t="shared" si="50" ref="F44:F49">G44*$D44</f>
        <v>11.297865880709956</v>
      </c>
      <c r="G44" s="134">
        <v>30.48243836588795</v>
      </c>
      <c r="H44" s="135">
        <f aca="true" t="shared" si="51" ref="H44:H49">I44*$D44</f>
        <v>0.19202611820405524</v>
      </c>
      <c r="I44" s="136">
        <v>0.5181</v>
      </c>
      <c r="J44" s="136">
        <v>0.5181</v>
      </c>
      <c r="K44" s="137">
        <f t="shared" si="5"/>
        <v>0</v>
      </c>
      <c r="L44" s="133">
        <v>0.0011018187211478663</v>
      </c>
      <c r="M44" s="133">
        <f t="shared" si="6"/>
        <v>0.0017164806563963364</v>
      </c>
      <c r="N44" s="142">
        <f t="shared" si="7"/>
        <v>582.5873983919219</v>
      </c>
      <c r="O44" s="133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228</v>
      </c>
      <c r="B45" s="1" t="s">
        <v>119</v>
      </c>
      <c r="C45" s="4">
        <v>0.001962543269760776</v>
      </c>
      <c r="D45" s="5">
        <v>0.3945602245293178</v>
      </c>
      <c r="E45" s="129">
        <f t="shared" si="4"/>
        <v>0.0011729425437029888</v>
      </c>
      <c r="F45" s="134">
        <f t="shared" si="50"/>
        <v>16.891123212100098</v>
      </c>
      <c r="G45" s="134">
        <v>42.81</v>
      </c>
      <c r="H45" s="135">
        <f t="shared" si="51"/>
        <v>0.16575475032476641</v>
      </c>
      <c r="I45" s="136">
        <v>0.4201</v>
      </c>
      <c r="J45" s="136">
        <v>0.4201</v>
      </c>
      <c r="K45" s="137">
        <f t="shared" si="5"/>
        <v>0</v>
      </c>
      <c r="L45" s="133">
        <v>0.0011729425437029888</v>
      </c>
      <c r="M45" s="133">
        <f t="shared" si="6"/>
        <v>0.001827281701324715</v>
      </c>
      <c r="N45" s="142">
        <f t="shared" si="7"/>
        <v>547.2609938987706</v>
      </c>
      <c r="O45" s="133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32</v>
      </c>
      <c r="B46" s="1" t="s">
        <v>119</v>
      </c>
      <c r="C46" s="4">
        <v>0.00452917566971668</v>
      </c>
      <c r="D46" s="5">
        <v>5.630752849556676</v>
      </c>
      <c r="E46" s="129">
        <f t="shared" si="4"/>
        <v>0.016739015135650372</v>
      </c>
      <c r="F46" s="134">
        <f t="shared" si="50"/>
        <v>38.98149175368538</v>
      </c>
      <c r="G46" s="134">
        <v>6.922962665064317</v>
      </c>
      <c r="H46" s="135">
        <f t="shared" si="51"/>
        <v>0.7376286232919246</v>
      </c>
      <c r="I46" s="136">
        <v>0.131</v>
      </c>
      <c r="J46" s="136">
        <v>0.131</v>
      </c>
      <c r="K46" s="137">
        <f t="shared" si="5"/>
        <v>0</v>
      </c>
      <c r="L46" s="133">
        <v>0.016739015135650372</v>
      </c>
      <c r="M46" s="133">
        <f t="shared" si="6"/>
        <v>0.026077062529429866</v>
      </c>
      <c r="N46" s="142">
        <f t="shared" si="7"/>
        <v>38.34787752153553</v>
      </c>
      <c r="O46" s="133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33</v>
      </c>
      <c r="B47" s="1" t="s">
        <v>119</v>
      </c>
      <c r="C47" s="4">
        <v>0.00418881573145188</v>
      </c>
      <c r="D47" s="5">
        <v>0.7410866613362493</v>
      </c>
      <c r="E47" s="129">
        <f t="shared" si="4"/>
        <v>0.0022030909848782944</v>
      </c>
      <c r="F47" s="134">
        <f t="shared" si="50"/>
        <v>36.05209817430493</v>
      </c>
      <c r="G47" s="134">
        <v>48.64761444943509</v>
      </c>
      <c r="H47" s="135">
        <f t="shared" si="51"/>
        <v>0.327412086978355</v>
      </c>
      <c r="I47" s="136">
        <v>0.4418</v>
      </c>
      <c r="J47" s="136">
        <v>0.4418</v>
      </c>
      <c r="K47" s="137">
        <f t="shared" si="5"/>
        <v>0</v>
      </c>
      <c r="L47" s="133">
        <v>0.0022030909848782944</v>
      </c>
      <c r="M47" s="133">
        <f t="shared" si="6"/>
        <v>0.0034321100079740363</v>
      </c>
      <c r="N47" s="142">
        <f t="shared" si="7"/>
        <v>291.3659520460117</v>
      </c>
      <c r="O47" s="133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34</v>
      </c>
      <c r="B48" s="1" t="s">
        <v>119</v>
      </c>
      <c r="C48" s="4">
        <v>0.003581740987763202</v>
      </c>
      <c r="D48" s="5">
        <v>5.534597084999016</v>
      </c>
      <c r="E48" s="129">
        <f t="shared" si="4"/>
        <v>0.0164531647633618</v>
      </c>
      <c r="F48" s="134">
        <f t="shared" si="50"/>
        <v>30.82715640991291</v>
      </c>
      <c r="G48" s="134">
        <v>5.569900741910717</v>
      </c>
      <c r="H48" s="135">
        <f t="shared" si="51"/>
        <v>0.5827930730503964</v>
      </c>
      <c r="I48" s="136">
        <v>0.1053</v>
      </c>
      <c r="J48" s="136">
        <v>0.1053</v>
      </c>
      <c r="K48" s="137">
        <f t="shared" si="5"/>
        <v>0</v>
      </c>
      <c r="L48" s="133">
        <v>0.0164531647633618</v>
      </c>
      <c r="M48" s="133">
        <f t="shared" si="6"/>
        <v>0.025631747319913495</v>
      </c>
      <c r="N48" s="142">
        <f t="shared" si="7"/>
        <v>39.01411743486924</v>
      </c>
      <c r="O48" s="133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229</v>
      </c>
      <c r="B49" s="1" t="s">
        <v>119</v>
      </c>
      <c r="C49" s="4">
        <v>0.004707317274831882</v>
      </c>
      <c r="D49" s="5">
        <v>6.421438438659125</v>
      </c>
      <c r="E49" s="129">
        <f t="shared" si="4"/>
        <v>0.01908955304721376</v>
      </c>
      <c r="F49" s="134">
        <f t="shared" si="50"/>
        <v>40.51471236979386</v>
      </c>
      <c r="G49" s="134">
        <v>6.3092892280773505</v>
      </c>
      <c r="H49" s="135">
        <f t="shared" si="51"/>
        <v>1.0672430685051466</v>
      </c>
      <c r="I49" s="136">
        <v>0.1662</v>
      </c>
      <c r="J49" s="136">
        <v>0.1662</v>
      </c>
      <c r="K49" s="137">
        <f t="shared" si="5"/>
        <v>0</v>
      </c>
      <c r="L49" s="133">
        <v>0.01908955304721376</v>
      </c>
      <c r="M49" s="133">
        <f t="shared" si="6"/>
        <v>0.02973887438639444</v>
      </c>
      <c r="N49" s="142">
        <f t="shared" si="7"/>
        <v>33.62602050794165</v>
      </c>
      <c r="O49" s="133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223</v>
      </c>
      <c r="B50" s="3"/>
      <c r="C50" s="4">
        <v>0.02208342167346489</v>
      </c>
      <c r="D50" s="5"/>
      <c r="E50" s="129"/>
      <c r="F50" s="134">
        <f>SUM(F51:F52)</f>
        <v>190.0659613989373</v>
      </c>
      <c r="G50" s="128"/>
      <c r="H50" s="135">
        <f>SUM(H51:H52)</f>
        <v>5.684903962933633</v>
      </c>
      <c r="I50" s="136"/>
      <c r="J50" s="136"/>
      <c r="K50" s="137">
        <f t="shared" si="5"/>
        <v>0</v>
      </c>
      <c r="L50" s="133"/>
      <c r="M50" s="133"/>
      <c r="N50" s="142"/>
      <c r="O50" s="133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230</v>
      </c>
      <c r="B51" s="1" t="s">
        <v>119</v>
      </c>
      <c r="C51" s="4">
        <v>0.02108042167346489</v>
      </c>
      <c r="D51" s="5">
        <v>10.158214854186662</v>
      </c>
      <c r="E51" s="129">
        <f t="shared" si="4"/>
        <v>0.030198184281664316</v>
      </c>
      <c r="F51" s="134">
        <f>G51*$D51</f>
        <v>181.4339613989373</v>
      </c>
      <c r="G51" s="134">
        <v>17.860811570072286</v>
      </c>
      <c r="H51" s="135">
        <f>I51*$D51</f>
        <v>5.46004048412533</v>
      </c>
      <c r="I51" s="136">
        <v>0.5375</v>
      </c>
      <c r="J51" s="136">
        <v>0.5375</v>
      </c>
      <c r="K51" s="137">
        <f t="shared" si="5"/>
        <v>0</v>
      </c>
      <c r="L51" s="133">
        <v>0.030198184281664316</v>
      </c>
      <c r="M51" s="133">
        <f t="shared" si="6"/>
        <v>0.047044580186264943</v>
      </c>
      <c r="N51" s="142">
        <f t="shared" si="7"/>
        <v>21.25643370693652</v>
      </c>
      <c r="O51" s="133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35</v>
      </c>
      <c r="B52" s="8" t="s">
        <v>124</v>
      </c>
      <c r="C52" s="9">
        <v>0.001003</v>
      </c>
      <c r="D52" s="10">
        <v>0.6801678124873021</v>
      </c>
      <c r="E52" s="129">
        <f t="shared" si="4"/>
        <v>0.0020219923715713347</v>
      </c>
      <c r="F52" s="134">
        <f>G52*$D52</f>
        <v>8.632</v>
      </c>
      <c r="G52" s="138">
        <v>12.690985726645437</v>
      </c>
      <c r="H52" s="135">
        <f>I52*$D52</f>
        <v>0.22486347880830207</v>
      </c>
      <c r="I52" s="136">
        <v>0.3306</v>
      </c>
      <c r="J52" s="136">
        <v>0.3306</v>
      </c>
      <c r="K52" s="137">
        <f t="shared" si="5"/>
        <v>0</v>
      </c>
      <c r="L52" s="133"/>
      <c r="M52" s="133"/>
      <c r="N52" s="142"/>
      <c r="O52" s="133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36</v>
      </c>
      <c r="B53" s="3"/>
      <c r="C53" s="4">
        <v>0.0183854078932863</v>
      </c>
      <c r="D53" s="5"/>
      <c r="E53" s="129"/>
      <c r="F53" s="134">
        <f>SUM(F54:F55)</f>
        <v>158.23864615635762</v>
      </c>
      <c r="G53" s="128"/>
      <c r="H53" s="135">
        <f>SUM(H54:H55)</f>
        <v>4.3046844603477</v>
      </c>
      <c r="I53" s="136"/>
      <c r="J53" s="136"/>
      <c r="K53" s="137">
        <f t="shared" si="5"/>
        <v>0</v>
      </c>
      <c r="L53" s="133"/>
      <c r="M53" s="133"/>
      <c r="N53" s="142"/>
      <c r="O53" s="133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231</v>
      </c>
      <c r="B54" s="1" t="s">
        <v>119</v>
      </c>
      <c r="C54" s="4">
        <v>0.014693199206261713</v>
      </c>
      <c r="D54" s="5">
        <v>1.1916879004222345</v>
      </c>
      <c r="E54" s="129">
        <f t="shared" si="4"/>
        <v>0.003542631391415045</v>
      </c>
      <c r="F54" s="134">
        <f>G54*$D54</f>
        <v>126.46072165489142</v>
      </c>
      <c r="G54" s="134">
        <v>106.11899441966669</v>
      </c>
      <c r="H54" s="135">
        <f>I54*$D54</f>
        <v>2.255788906428402</v>
      </c>
      <c r="I54" s="136">
        <v>1.8929359823399559</v>
      </c>
      <c r="J54" s="136">
        <v>1.8929359823399559</v>
      </c>
      <c r="K54" s="137">
        <f t="shared" si="5"/>
        <v>0</v>
      </c>
      <c r="L54" s="133">
        <v>0.003542631391415045</v>
      </c>
      <c r="M54" s="133">
        <f t="shared" si="6"/>
        <v>0.005518928059028958</v>
      </c>
      <c r="N54" s="142">
        <f t="shared" si="7"/>
        <v>181.19460687007896</v>
      </c>
      <c r="O54" s="133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37</v>
      </c>
      <c r="B55" s="1" t="s">
        <v>125</v>
      </c>
      <c r="C55" s="4">
        <v>0.003692208687024584</v>
      </c>
      <c r="D55" s="5">
        <v>5.855660342724488</v>
      </c>
      <c r="E55" s="129">
        <f t="shared" si="4"/>
        <v>0.01740761665890025</v>
      </c>
      <c r="F55" s="134">
        <f>G55*$D55</f>
        <v>31.777924501466217</v>
      </c>
      <c r="G55" s="134">
        <v>5.426872912966937</v>
      </c>
      <c r="H55" s="135">
        <f>I55*$D55</f>
        <v>2.0488955539192983</v>
      </c>
      <c r="I55" s="136">
        <v>0.3499</v>
      </c>
      <c r="J55" s="136">
        <v>0.3499</v>
      </c>
      <c r="K55" s="137">
        <f t="shared" si="5"/>
        <v>0</v>
      </c>
      <c r="L55" s="133">
        <v>0.01740761665890025</v>
      </c>
      <c r="M55" s="133">
        <f t="shared" si="6"/>
        <v>0.02711865091367872</v>
      </c>
      <c r="N55" s="142">
        <f t="shared" si="7"/>
        <v>36.87499069120718</v>
      </c>
      <c r="O55" s="133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38</v>
      </c>
      <c r="B56" s="3"/>
      <c r="C56" s="4">
        <v>0.002779606162495866</v>
      </c>
      <c r="D56" s="5"/>
      <c r="E56" s="129"/>
      <c r="F56" s="134">
        <f>SUM(F57)</f>
        <v>23.92338089827362</v>
      </c>
      <c r="G56" s="128"/>
      <c r="H56" s="135">
        <f>SUM(H57)</f>
        <v>0.33800579201930386</v>
      </c>
      <c r="I56" s="136"/>
      <c r="J56" s="136"/>
      <c r="K56" s="137">
        <f t="shared" si="5"/>
        <v>0</v>
      </c>
      <c r="L56" s="133"/>
      <c r="M56" s="133"/>
      <c r="N56" s="142"/>
      <c r="O56" s="133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39</v>
      </c>
      <c r="B57" s="1" t="s">
        <v>126</v>
      </c>
      <c r="C57" s="4">
        <v>0.002779606162495866</v>
      </c>
      <c r="D57" s="5">
        <v>1.8339977863228643</v>
      </c>
      <c r="E57" s="129">
        <f t="shared" si="4"/>
        <v>0.005452080303333637</v>
      </c>
      <c r="F57" s="134">
        <f>G57*$D57</f>
        <v>23.92338089827362</v>
      </c>
      <c r="G57" s="134">
        <v>13.044389189934417</v>
      </c>
      <c r="H57" s="135">
        <f>I57*$D57</f>
        <v>0.33800579201930386</v>
      </c>
      <c r="I57" s="136">
        <v>0.1843</v>
      </c>
      <c r="J57" s="136">
        <v>0.1843</v>
      </c>
      <c r="K57" s="137">
        <f t="shared" si="5"/>
        <v>0</v>
      </c>
      <c r="L57" s="133">
        <v>0.005452080303333637</v>
      </c>
      <c r="M57" s="133">
        <f t="shared" si="6"/>
        <v>0.008493584469178521</v>
      </c>
      <c r="N57" s="142">
        <f t="shared" si="7"/>
        <v>117.73592216911426</v>
      </c>
      <c r="O57" s="133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40</v>
      </c>
      <c r="B58" s="3"/>
      <c r="C58" s="4">
        <v>0.04461800325212215</v>
      </c>
      <c r="D58" s="5"/>
      <c r="E58" s="129"/>
      <c r="F58" s="134">
        <f>SUM(F59:F60)</f>
        <v>384.01608872620886</v>
      </c>
      <c r="G58" s="128"/>
      <c r="H58" s="135">
        <f>SUM(H59:H60)</f>
        <v>6.014679465666522</v>
      </c>
      <c r="I58" s="136"/>
      <c r="J58" s="136"/>
      <c r="K58" s="137">
        <f t="shared" si="5"/>
        <v>0</v>
      </c>
      <c r="L58" s="133"/>
      <c r="M58" s="133"/>
      <c r="N58" s="142"/>
      <c r="O58" s="133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235</v>
      </c>
      <c r="B59" s="1" t="s">
        <v>125</v>
      </c>
      <c r="C59" s="4">
        <v>0.008251240491676772</v>
      </c>
      <c r="D59" s="5">
        <v>11.816882480760842</v>
      </c>
      <c r="E59" s="129">
        <f t="shared" si="4"/>
        <v>0.0351290457930916</v>
      </c>
      <c r="F59" s="134">
        <f>G59*$D59</f>
        <v>71.01638060422005</v>
      </c>
      <c r="G59" s="134">
        <v>6.00973909318658</v>
      </c>
      <c r="H59" s="135">
        <f>I59*$D59</f>
        <v>2.2345724771118753</v>
      </c>
      <c r="I59" s="136">
        <v>0.1891</v>
      </c>
      <c r="J59" s="136">
        <v>0.1891</v>
      </c>
      <c r="K59" s="137">
        <f t="shared" si="5"/>
        <v>0</v>
      </c>
      <c r="L59" s="133">
        <v>0.0351290457930916</v>
      </c>
      <c r="M59" s="133">
        <f t="shared" si="6"/>
        <v>0.05472617811275206</v>
      </c>
      <c r="N59" s="142">
        <f t="shared" si="7"/>
        <v>18.27279072804436</v>
      </c>
      <c r="O59" s="133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41</v>
      </c>
      <c r="B60" s="1" t="s">
        <v>127</v>
      </c>
      <c r="C60" s="4">
        <v>0.03636676276044538</v>
      </c>
      <c r="D60" s="5">
        <v>6.566105590680297</v>
      </c>
      <c r="E60" s="129">
        <f t="shared" si="4"/>
        <v>0.01951961732316657</v>
      </c>
      <c r="F60" s="134">
        <f>G60*$D60</f>
        <v>312.9997081219888</v>
      </c>
      <c r="G60" s="134">
        <v>47.66900315557669</v>
      </c>
      <c r="H60" s="135">
        <f>I60*$D60</f>
        <v>3.780106988554647</v>
      </c>
      <c r="I60" s="136">
        <v>0.5757</v>
      </c>
      <c r="J60" s="136">
        <v>0.5757</v>
      </c>
      <c r="K60" s="137">
        <f>J60-I60</f>
        <v>0</v>
      </c>
      <c r="L60" s="133">
        <v>0.01951961732316657</v>
      </c>
      <c r="M60" s="133">
        <f t="shared" si="6"/>
        <v>0.03040885484371599</v>
      </c>
      <c r="N60" s="142">
        <f t="shared" si="7"/>
        <v>32.885158127112135</v>
      </c>
      <c r="O60" s="133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42</v>
      </c>
      <c r="B61" s="3"/>
      <c r="C61" s="4">
        <v>0.23110246940800355</v>
      </c>
      <c r="D61" s="5"/>
      <c r="E61" s="129"/>
      <c r="F61" s="134">
        <f>(F62+F63+F66+F71)</f>
        <v>2348.643616306213</v>
      </c>
      <c r="G61" s="128"/>
      <c r="H61" s="135">
        <f>(H62+H63+H66+H71)</f>
        <v>26.066968311076238</v>
      </c>
      <c r="I61" s="136"/>
      <c r="J61" s="136"/>
      <c r="K61" s="137">
        <f>J61-I61</f>
        <v>0</v>
      </c>
      <c r="L61" s="133"/>
      <c r="M61" s="133"/>
      <c r="N61" s="142"/>
      <c r="O61" s="133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128</v>
      </c>
      <c r="B62" s="1" t="s">
        <v>129</v>
      </c>
      <c r="C62" s="4">
        <v>0.1641311161944659</v>
      </c>
      <c r="D62" s="5">
        <v>1</v>
      </c>
      <c r="E62" s="129">
        <f t="shared" si="4"/>
        <v>0.0029727845605882486</v>
      </c>
      <c r="F62" s="134">
        <f>G62*$D62</f>
        <v>1765.79</v>
      </c>
      <c r="G62" s="139">
        <v>1765.79</v>
      </c>
      <c r="H62" s="135">
        <f>I62*$D62</f>
        <v>14.6388</v>
      </c>
      <c r="I62" s="136">
        <v>14.6388</v>
      </c>
      <c r="J62" s="136">
        <v>14.6388</v>
      </c>
      <c r="K62" s="137">
        <f aca="true" t="shared" si="59" ref="K62:K75">J62-I62</f>
        <v>0</v>
      </c>
      <c r="L62" s="133"/>
      <c r="M62" s="133"/>
      <c r="N62" s="142"/>
      <c r="O62" s="133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44</v>
      </c>
      <c r="B63" s="3"/>
      <c r="C63" s="4">
        <v>0.040487</v>
      </c>
      <c r="D63" s="5"/>
      <c r="E63" s="129"/>
      <c r="F63" s="134">
        <f>SUM(F64:F65)</f>
        <v>348.464</v>
      </c>
      <c r="G63" s="128"/>
      <c r="H63" s="135">
        <f>SUM(H64:H65)</f>
        <v>6.39266663678889</v>
      </c>
      <c r="I63" s="136"/>
      <c r="J63" s="136"/>
      <c r="K63" s="137">
        <f t="shared" si="59"/>
        <v>0</v>
      </c>
      <c r="L63" s="133"/>
      <c r="M63" s="133"/>
      <c r="N63" s="142"/>
      <c r="O63" s="133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259</v>
      </c>
      <c r="B64" s="8" t="s">
        <v>130</v>
      </c>
      <c r="C64" s="9">
        <v>0.020176</v>
      </c>
      <c r="D64" s="10">
        <v>0.7999952781044046</v>
      </c>
      <c r="E64" s="129">
        <f t="shared" si="4"/>
        <v>0.0023782136112922765</v>
      </c>
      <c r="F64" s="134">
        <f>G64*$D64</f>
        <v>173.648</v>
      </c>
      <c r="G64" s="138">
        <v>217.06128117588437</v>
      </c>
      <c r="H64" s="135">
        <f>I64*$D64</f>
        <v>5.240529068278524</v>
      </c>
      <c r="I64" s="136">
        <v>6.5507</v>
      </c>
      <c r="J64" s="136">
        <v>6.5507</v>
      </c>
      <c r="K64" s="137">
        <f t="shared" si="59"/>
        <v>0</v>
      </c>
      <c r="L64" s="133"/>
      <c r="M64" s="133"/>
      <c r="N64" s="142"/>
      <c r="O64" s="133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45</v>
      </c>
      <c r="B65" s="8" t="s">
        <v>131</v>
      </c>
      <c r="C65" s="9">
        <v>0.020311</v>
      </c>
      <c r="D65" s="10">
        <v>1.096021279024321</v>
      </c>
      <c r="E65" s="129">
        <f t="shared" si="4"/>
        <v>0.003258235136359686</v>
      </c>
      <c r="F65" s="134">
        <f>G65*$D65</f>
        <v>174.816</v>
      </c>
      <c r="G65" s="138">
        <v>159.5005529049777</v>
      </c>
      <c r="H65" s="135">
        <f>I65*$D65</f>
        <v>1.152137568510366</v>
      </c>
      <c r="I65" s="136">
        <v>1.0512</v>
      </c>
      <c r="J65" s="136">
        <v>1.0512</v>
      </c>
      <c r="K65" s="137">
        <f t="shared" si="59"/>
        <v>0</v>
      </c>
      <c r="L65" s="133"/>
      <c r="M65" s="133"/>
      <c r="N65" s="142"/>
      <c r="O65" s="133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46</v>
      </c>
      <c r="B66" s="3"/>
      <c r="C66" s="4">
        <v>0.023489782879506118</v>
      </c>
      <c r="D66" s="5"/>
      <c r="E66" s="129"/>
      <c r="F66" s="134">
        <f>SUM(F67:F70)</f>
        <v>202.17271104175504</v>
      </c>
      <c r="G66" s="128"/>
      <c r="H66" s="135">
        <f>SUM(H67:H70)</f>
        <v>4.659933067272848</v>
      </c>
      <c r="I66" s="136"/>
      <c r="J66" s="136"/>
      <c r="K66" s="137">
        <f t="shared" si="59"/>
        <v>0</v>
      </c>
      <c r="L66" s="133"/>
      <c r="M66" s="133"/>
      <c r="N66" s="142"/>
      <c r="O66" s="133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47</v>
      </c>
      <c r="B67" s="8" t="s">
        <v>132</v>
      </c>
      <c r="C67" s="9">
        <v>0.010993</v>
      </c>
      <c r="D67" s="10">
        <v>0.5520186697782964</v>
      </c>
      <c r="E67" s="129">
        <f t="shared" si="4"/>
        <v>0.0016410325786733824</v>
      </c>
      <c r="F67" s="134">
        <f>G67*$D67</f>
        <v>94.616</v>
      </c>
      <c r="G67" s="138">
        <v>171.4</v>
      </c>
      <c r="H67" s="135">
        <f>I67*$D67</f>
        <v>2.5979102637106184</v>
      </c>
      <c r="I67" s="136">
        <v>4.7062</v>
      </c>
      <c r="J67" s="136">
        <v>4.7062</v>
      </c>
      <c r="K67" s="137">
        <f t="shared" si="59"/>
        <v>0</v>
      </c>
      <c r="L67" s="133"/>
      <c r="M67" s="133"/>
      <c r="N67" s="142"/>
      <c r="O67" s="133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48</v>
      </c>
      <c r="B68" s="1" t="s">
        <v>133</v>
      </c>
      <c r="C68" s="4">
        <v>0.0027298459376033516</v>
      </c>
      <c r="D68" s="5">
        <v>1.6081749704417212</v>
      </c>
      <c r="E68" s="129">
        <f t="shared" si="4"/>
        <v>0.004780757722853612</v>
      </c>
      <c r="F68" s="134">
        <f>G68*$D68</f>
        <v>23.49510698315952</v>
      </c>
      <c r="G68" s="134">
        <v>14.609795211963823</v>
      </c>
      <c r="H68" s="135">
        <f>I68*$D68</f>
        <v>0.620433903596416</v>
      </c>
      <c r="I68" s="136">
        <v>0.3858</v>
      </c>
      <c r="J68" s="136">
        <v>0.3858</v>
      </c>
      <c r="K68" s="137">
        <f t="shared" si="59"/>
        <v>0</v>
      </c>
      <c r="L68" s="133">
        <v>0.004780757722853612</v>
      </c>
      <c r="M68" s="133">
        <f t="shared" si="6"/>
        <v>0.007447757055395277</v>
      </c>
      <c r="N68" s="142">
        <f t="shared" si="7"/>
        <v>134.2686116856596</v>
      </c>
      <c r="O68" s="133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236</v>
      </c>
      <c r="B69" s="1" t="s">
        <v>134</v>
      </c>
      <c r="C69" s="4">
        <v>0.006789285084334693</v>
      </c>
      <c r="D69" s="5">
        <v>6.1343974970482655</v>
      </c>
      <c r="E69" s="129">
        <f t="shared" si="4"/>
        <v>0.01823624216773628</v>
      </c>
      <c r="F69" s="134">
        <f>G69*$D69</f>
        <v>58.43369297816779</v>
      </c>
      <c r="G69" s="134">
        <v>9.525579815505072</v>
      </c>
      <c r="H69" s="135">
        <f>I69*$D69</f>
        <v>1.103578109718983</v>
      </c>
      <c r="I69" s="136">
        <v>0.1799</v>
      </c>
      <c r="J69" s="136">
        <v>0.1799</v>
      </c>
      <c r="K69" s="137">
        <f t="shared" si="59"/>
        <v>0</v>
      </c>
      <c r="L69" s="133">
        <v>0.01823624216773628</v>
      </c>
      <c r="M69" s="133">
        <f t="shared" si="6"/>
        <v>0.02840953445923316</v>
      </c>
      <c r="N69" s="142">
        <f t="shared" si="7"/>
        <v>35.19945043221213</v>
      </c>
      <c r="O69" s="133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237</v>
      </c>
      <c r="B70" s="1" t="s">
        <v>135</v>
      </c>
      <c r="C70" s="4">
        <v>0.0029776518575680743</v>
      </c>
      <c r="D70" s="5">
        <v>2.1529349697250404</v>
      </c>
      <c r="E70" s="129">
        <f t="shared" si="4"/>
        <v>0.006400211837949129</v>
      </c>
      <c r="F70" s="134">
        <f>G70*$D70</f>
        <v>25.627911080427744</v>
      </c>
      <c r="G70" s="134">
        <v>11.90370886292993</v>
      </c>
      <c r="H70" s="135">
        <f>I70*$D70</f>
        <v>0.33801079024683134</v>
      </c>
      <c r="I70" s="136">
        <v>0.157</v>
      </c>
      <c r="J70" s="136">
        <v>0.157</v>
      </c>
      <c r="K70" s="137">
        <f t="shared" si="59"/>
        <v>0</v>
      </c>
      <c r="L70" s="133">
        <v>0.006400211837949129</v>
      </c>
      <c r="M70" s="133">
        <f t="shared" si="6"/>
        <v>0.009970641817769767</v>
      </c>
      <c r="N70" s="142">
        <f t="shared" si="7"/>
        <v>100.29444626300696</v>
      </c>
      <c r="O70" s="133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49</v>
      </c>
      <c r="B71" s="4"/>
      <c r="C71" s="4">
        <v>0.0029945703340315292</v>
      </c>
      <c r="D71" s="5"/>
      <c r="E71" s="129"/>
      <c r="F71" s="134">
        <f>SUM(F72:F73)</f>
        <v>32.21690526445817</v>
      </c>
      <c r="G71" s="128"/>
      <c r="H71" s="135">
        <f>SUM(H72:H73)</f>
        <v>0.3755686070144961</v>
      </c>
      <c r="I71" s="136"/>
      <c r="J71" s="136"/>
      <c r="K71" s="137">
        <f t="shared" si="59"/>
        <v>0</v>
      </c>
      <c r="L71" s="133"/>
      <c r="M71" s="133"/>
      <c r="N71" s="142"/>
      <c r="O71" s="133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50</v>
      </c>
      <c r="B72" s="1" t="s">
        <v>127</v>
      </c>
      <c r="C72" s="4">
        <v>0.0024501934737074195</v>
      </c>
      <c r="D72" s="5">
        <v>0.44665339208053745</v>
      </c>
      <c r="E72" s="129">
        <f t="shared" si="4"/>
        <v>0.0013278043079113914</v>
      </c>
      <c r="F72" s="134">
        <f>G72*$D72</f>
        <v>26.36025947527285</v>
      </c>
      <c r="G72" s="134">
        <v>59.01726023502302</v>
      </c>
      <c r="H72" s="135">
        <f>I72*$D72</f>
        <v>0.3026970038129802</v>
      </c>
      <c r="I72" s="136">
        <v>0.6777</v>
      </c>
      <c r="J72" s="136">
        <v>0.6777</v>
      </c>
      <c r="K72" s="137">
        <f t="shared" si="59"/>
        <v>0</v>
      </c>
      <c r="L72" s="133">
        <v>0.0013278043079113914</v>
      </c>
      <c r="M72" s="133">
        <f t="shared" si="6"/>
        <v>0.0020685348381403674</v>
      </c>
      <c r="N72" s="142">
        <f t="shared" si="7"/>
        <v>483.433965704445</v>
      </c>
      <c r="O72" s="133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51</v>
      </c>
      <c r="B73" s="1" t="s">
        <v>127</v>
      </c>
      <c r="C73" s="4">
        <v>0.0005443768603241098</v>
      </c>
      <c r="D73" s="5">
        <v>0.21876794716756515</v>
      </c>
      <c r="E73" s="129">
        <f t="shared" si="4"/>
        <v>0.0006503499756913234</v>
      </c>
      <c r="F73" s="134">
        <f>G73*$D73</f>
        <v>5.856645789185316</v>
      </c>
      <c r="G73" s="134">
        <v>26.771041484881795</v>
      </c>
      <c r="H73" s="135">
        <f>I73*$D73</f>
        <v>0.07287160320151595</v>
      </c>
      <c r="I73" s="136">
        <v>0.3331</v>
      </c>
      <c r="J73" s="136">
        <v>0.3331</v>
      </c>
      <c r="K73" s="137">
        <f t="shared" si="59"/>
        <v>0</v>
      </c>
      <c r="L73" s="133">
        <v>0.0006503499756913234</v>
      </c>
      <c r="M73" s="133">
        <f t="shared" si="6"/>
        <v>0.001013155006114815</v>
      </c>
      <c r="N73" s="142">
        <f t="shared" si="7"/>
        <v>987.015801101096</v>
      </c>
      <c r="O73" s="133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52</v>
      </c>
      <c r="B74" s="3"/>
      <c r="C74" s="4">
        <v>0.1002778004078933</v>
      </c>
      <c r="D74" s="5"/>
      <c r="E74" s="129"/>
      <c r="F74" s="134">
        <f>SUM(F75+F78+F83+F90)</f>
        <v>863.0661592162364</v>
      </c>
      <c r="G74" s="128"/>
      <c r="H74" s="135">
        <f>SUM(H75+H78+H83+H90)</f>
        <v>15.568284403458296</v>
      </c>
      <c r="I74" s="136"/>
      <c r="J74" s="136"/>
      <c r="K74" s="137">
        <f t="shared" si="59"/>
        <v>0</v>
      </c>
      <c r="L74" s="133"/>
      <c r="M74" s="133"/>
      <c r="N74" s="142"/>
      <c r="O74" s="133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53</v>
      </c>
      <c r="B75" s="3"/>
      <c r="C75" s="4">
        <v>0.011914588248263698</v>
      </c>
      <c r="D75" s="5"/>
      <c r="E75" s="129"/>
      <c r="F75" s="134">
        <f>SUM(F76:F77)</f>
        <v>102.5459062349201</v>
      </c>
      <c r="G75" s="128"/>
      <c r="H75" s="135">
        <f>SUM(H76:H77)</f>
        <v>1.3380527957393342</v>
      </c>
      <c r="I75" s="136"/>
      <c r="J75" s="136"/>
      <c r="K75" s="137">
        <f t="shared" si="59"/>
        <v>0</v>
      </c>
      <c r="L75" s="133"/>
      <c r="M75" s="133"/>
      <c r="N75" s="142"/>
      <c r="O75" s="133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262</v>
      </c>
      <c r="B76" s="1" t="s">
        <v>136</v>
      </c>
      <c r="C76" s="4">
        <v>0.0072261798588909715</v>
      </c>
      <c r="D76" s="5">
        <v>0.20014139325139046</v>
      </c>
      <c r="E76" s="129">
        <f aca="true" t="shared" si="64" ref="E76:E113">D76/$D$8</f>
        <v>0.0005949772437923547</v>
      </c>
      <c r="F76" s="134">
        <f>G76*$D76</f>
        <v>62.19393795286959</v>
      </c>
      <c r="G76" s="134">
        <v>310.75</v>
      </c>
      <c r="H76" s="135">
        <f>I76*$D76</f>
        <v>1.111785439511474</v>
      </c>
      <c r="I76" s="136">
        <v>5.555</v>
      </c>
      <c r="J76" s="136">
        <v>5.555</v>
      </c>
      <c r="K76" s="137">
        <v>853.9600000000028</v>
      </c>
      <c r="L76" s="133">
        <v>0.0005949772437923547</v>
      </c>
      <c r="M76" s="133">
        <f aca="true" t="shared" si="65" ref="M76:M110">L76/$L$8</f>
        <v>0.0009268919744816424</v>
      </c>
      <c r="N76" s="142">
        <f aca="true" t="shared" si="66" ref="N76:N110">1/M76</f>
        <v>1078.874375365309</v>
      </c>
      <c r="O76" s="133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238</v>
      </c>
      <c r="B77" s="1" t="s">
        <v>136</v>
      </c>
      <c r="C77" s="4">
        <v>0.004688408389372727</v>
      </c>
      <c r="D77" s="5">
        <v>0.5879639848761548</v>
      </c>
      <c r="E77" s="129">
        <f t="shared" si="64"/>
        <v>0.0017478902564217755</v>
      </c>
      <c r="F77" s="134">
        <f>G77*$D77</f>
        <v>40.3519682820505</v>
      </c>
      <c r="G77" s="134">
        <v>68.63</v>
      </c>
      <c r="H77" s="135">
        <f>I77*$D77</f>
        <v>0.22626735622786034</v>
      </c>
      <c r="I77" s="136">
        <v>0.38483199999999995</v>
      </c>
      <c r="J77" s="140">
        <v>0.38483199999999995</v>
      </c>
      <c r="K77" s="137" t="s">
        <v>137</v>
      </c>
      <c r="L77" s="133">
        <v>0.0017478902564217755</v>
      </c>
      <c r="M77" s="133">
        <f t="shared" si="65"/>
        <v>0.002722970446105693</v>
      </c>
      <c r="N77" s="142">
        <f t="shared" si="66"/>
        <v>367.2459983655602</v>
      </c>
      <c r="O77" s="133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54</v>
      </c>
      <c r="B78" s="4"/>
      <c r="C78" s="4">
        <v>0.047337897144747</v>
      </c>
      <c r="D78" s="5"/>
      <c r="E78" s="129"/>
      <c r="F78" s="134">
        <f>SUM(F79:F82)</f>
        <v>407.4255409263455</v>
      </c>
      <c r="G78" s="128"/>
      <c r="H78" s="135">
        <f>SUM(H79:H82)</f>
        <v>8.271394121430834</v>
      </c>
      <c r="I78" s="136"/>
      <c r="J78" s="136"/>
      <c r="K78" s="137">
        <f aca="true" t="shared" si="100" ref="K78:K101">J78-I78</f>
        <v>0</v>
      </c>
      <c r="L78" s="133"/>
      <c r="M78" s="133"/>
      <c r="N78" s="142"/>
      <c r="O78" s="133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0</v>
      </c>
    </row>
    <row r="79" spans="1:56" ht="12.75">
      <c r="A79" s="1" t="s">
        <v>55</v>
      </c>
      <c r="B79" s="1" t="s">
        <v>127</v>
      </c>
      <c r="C79" s="4">
        <v>0.011650859056333372</v>
      </c>
      <c r="D79" s="5">
        <v>0.20326057641767753</v>
      </c>
      <c r="E79" s="129">
        <f t="shared" si="64"/>
        <v>0.0006042499033507397</v>
      </c>
      <c r="F79" s="134">
        <f>G79*$D79</f>
        <v>100.27605448481536</v>
      </c>
      <c r="G79" s="134">
        <v>493.33745014458384</v>
      </c>
      <c r="H79" s="135">
        <f>I79*$D79</f>
        <v>2.8728646610298125</v>
      </c>
      <c r="I79" s="136">
        <v>14.1339</v>
      </c>
      <c r="J79" s="136">
        <v>14.1339</v>
      </c>
      <c r="K79" s="137">
        <f t="shared" si="100"/>
        <v>0</v>
      </c>
      <c r="L79" s="133">
        <v>0.0006042499033507397</v>
      </c>
      <c r="M79" s="133">
        <f t="shared" si="65"/>
        <v>0.0009413374912076016</v>
      </c>
      <c r="N79" s="142">
        <f t="shared" si="66"/>
        <v>1062.3182539103407</v>
      </c>
      <c r="O79" s="133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56</v>
      </c>
      <c r="B80" s="1" t="s">
        <v>127</v>
      </c>
      <c r="C80" s="4">
        <v>0.002023250744129644</v>
      </c>
      <c r="D80" s="5">
        <v>0.16313033166116864</v>
      </c>
      <c r="E80" s="129">
        <f t="shared" si="64"/>
        <v>0.0004849513313259625</v>
      </c>
      <c r="F80" s="134">
        <f>G80*$D80</f>
        <v>17.4136173885393</v>
      </c>
      <c r="G80" s="134">
        <v>106.74665594813119</v>
      </c>
      <c r="H80" s="135">
        <f>I80*$D80</f>
        <v>0.18800770723949686</v>
      </c>
      <c r="I80" s="136">
        <v>1.1525</v>
      </c>
      <c r="J80" s="136">
        <v>1.1525</v>
      </c>
      <c r="K80" s="137">
        <f t="shared" si="100"/>
        <v>0</v>
      </c>
      <c r="L80" s="133">
        <v>0.0004849513313259625</v>
      </c>
      <c r="M80" s="133">
        <f t="shared" si="65"/>
        <v>0.0007554868723300212</v>
      </c>
      <c r="N80" s="142">
        <f t="shared" si="66"/>
        <v>1323.6497371765945</v>
      </c>
      <c r="O80" s="133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239</v>
      </c>
      <c r="B81" s="1" t="s">
        <v>127</v>
      </c>
      <c r="C81" s="4">
        <v>0.018095803384411864</v>
      </c>
      <c r="D81" s="5">
        <v>0.20902730396763886</v>
      </c>
      <c r="E81" s="129">
        <f t="shared" si="64"/>
        <v>0.0006213931419763836</v>
      </c>
      <c r="F81" s="134">
        <f>G81*$D81</f>
        <v>155.74609197039356</v>
      </c>
      <c r="G81" s="134">
        <v>745.0992717894205</v>
      </c>
      <c r="H81" s="135">
        <f>I81*$D81</f>
        <v>2.8598697674244415</v>
      </c>
      <c r="I81" s="136">
        <v>13.6818</v>
      </c>
      <c r="J81" s="136">
        <v>13.6818</v>
      </c>
      <c r="K81" s="137">
        <f t="shared" si="100"/>
        <v>0</v>
      </c>
      <c r="L81" s="133">
        <v>0.0006213931419763836</v>
      </c>
      <c r="M81" s="133">
        <f t="shared" si="65"/>
        <v>0.0009680442778360304</v>
      </c>
      <c r="N81" s="142">
        <f t="shared" si="66"/>
        <v>1033.010599716992</v>
      </c>
      <c r="O81" s="133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57</v>
      </c>
      <c r="B82" s="1" t="s">
        <v>127</v>
      </c>
      <c r="C82" s="4">
        <v>0.015567983959872122</v>
      </c>
      <c r="D82" s="5">
        <v>0.13794096506878023</v>
      </c>
      <c r="E82" s="129">
        <f t="shared" si="64"/>
        <v>0.00041006877122911283</v>
      </c>
      <c r="F82" s="134">
        <f>G82*$D82</f>
        <v>133.9897770825973</v>
      </c>
      <c r="G82" s="134">
        <v>971.3559493786869</v>
      </c>
      <c r="H82" s="135">
        <f>I82*$D82</f>
        <v>2.350651985737084</v>
      </c>
      <c r="I82" s="136">
        <v>17.041</v>
      </c>
      <c r="J82" s="136">
        <v>17.041</v>
      </c>
      <c r="K82" s="137">
        <f t="shared" si="100"/>
        <v>0</v>
      </c>
      <c r="L82" s="133">
        <v>0.00041006877122911283</v>
      </c>
      <c r="M82" s="133">
        <f t="shared" si="65"/>
        <v>0.0006388302359517862</v>
      </c>
      <c r="N82" s="142">
        <f t="shared" si="66"/>
        <v>1565.3610986494887</v>
      </c>
      <c r="O82" s="133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58</v>
      </c>
      <c r="B83" s="4"/>
      <c r="C83" s="4">
        <v>0.03658073172748319</v>
      </c>
      <c r="D83" s="5"/>
      <c r="E83" s="129"/>
      <c r="F83" s="134">
        <f>SUM(F84:F89)</f>
        <v>314.8412859569794</v>
      </c>
      <c r="G83" s="128"/>
      <c r="H83" s="135">
        <f>SUM(H84:H89)</f>
        <v>5.354655267136437</v>
      </c>
      <c r="I83" s="136"/>
      <c r="J83" s="136"/>
      <c r="K83" s="137">
        <f t="shared" si="100"/>
        <v>0</v>
      </c>
      <c r="L83" s="133"/>
      <c r="M83" s="133"/>
      <c r="N83" s="142"/>
      <c r="O83" s="133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59</v>
      </c>
      <c r="B84" s="1" t="s">
        <v>127</v>
      </c>
      <c r="C84" s="4">
        <v>0.005188001047293573</v>
      </c>
      <c r="D84" s="5">
        <v>0.090517637760301</v>
      </c>
      <c r="E84" s="129">
        <f t="shared" si="64"/>
        <v>0.00026908943599474267</v>
      </c>
      <c r="F84" s="134">
        <f aca="true" t="shared" si="101" ref="F84:F89">G84*$D84</f>
        <v>44.65183838979606</v>
      </c>
      <c r="G84" s="134">
        <v>493.29434013775546</v>
      </c>
      <c r="H84" s="135">
        <f aca="true" t="shared" si="102" ref="H84:H89">I84*$D84</f>
        <v>0.8739115855206021</v>
      </c>
      <c r="I84" s="136">
        <v>9.6546</v>
      </c>
      <c r="J84" s="136">
        <v>9.6546</v>
      </c>
      <c r="K84" s="137">
        <f t="shared" si="100"/>
        <v>0</v>
      </c>
      <c r="L84" s="133">
        <v>0.00026908943599474267</v>
      </c>
      <c r="M84" s="133">
        <f t="shared" si="65"/>
        <v>0.0004192039968647344</v>
      </c>
      <c r="N84" s="142">
        <f t="shared" si="66"/>
        <v>2385.4734388963197</v>
      </c>
      <c r="O84" s="133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60</v>
      </c>
      <c r="B85" s="1" t="s">
        <v>127</v>
      </c>
      <c r="C85" s="4">
        <v>0.0011604084444934407</v>
      </c>
      <c r="D85" s="5">
        <v>0.13569216907714682</v>
      </c>
      <c r="E85" s="129">
        <f t="shared" si="64"/>
        <v>0.00040338358522527227</v>
      </c>
      <c r="F85" s="134">
        <f t="shared" si="101"/>
        <v>9.98734770046081</v>
      </c>
      <c r="G85" s="134">
        <v>73.60297774282446</v>
      </c>
      <c r="H85" s="135">
        <f t="shared" si="102"/>
        <v>0.18912774525972723</v>
      </c>
      <c r="I85" s="136">
        <v>1.3938</v>
      </c>
      <c r="J85" s="136">
        <v>1.3938</v>
      </c>
      <c r="K85" s="137">
        <f t="shared" si="100"/>
        <v>0</v>
      </c>
      <c r="L85" s="133">
        <v>0.00040338358522527227</v>
      </c>
      <c r="M85" s="133">
        <f t="shared" si="65"/>
        <v>0.0006284156439324662</v>
      </c>
      <c r="N85" s="142">
        <f t="shared" si="66"/>
        <v>1591.3034782874802</v>
      </c>
      <c r="O85" s="133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61</v>
      </c>
      <c r="B86" s="1" t="s">
        <v>127</v>
      </c>
      <c r="C86" s="4">
        <v>0.007302810605225444</v>
      </c>
      <c r="D86" s="5">
        <v>0.12652940066863674</v>
      </c>
      <c r="E86" s="129">
        <f t="shared" si="64"/>
        <v>0.00037614464876820774</v>
      </c>
      <c r="F86" s="134">
        <f t="shared" si="101"/>
        <v>62.8534797821453</v>
      </c>
      <c r="G86" s="134">
        <v>496.75</v>
      </c>
      <c r="H86" s="135">
        <f t="shared" si="102"/>
        <v>1.073677882313784</v>
      </c>
      <c r="I86" s="136">
        <v>8.4856</v>
      </c>
      <c r="J86" s="136">
        <v>8.4856</v>
      </c>
      <c r="K86" s="137">
        <f t="shared" si="100"/>
        <v>0</v>
      </c>
      <c r="L86" s="133">
        <v>0.00037614464876820774</v>
      </c>
      <c r="M86" s="133">
        <f t="shared" si="65"/>
        <v>0.0005859811611705005</v>
      </c>
      <c r="N86" s="142">
        <f t="shared" si="66"/>
        <v>1706.5395037657775</v>
      </c>
      <c r="O86" s="133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62</v>
      </c>
      <c r="B87" s="1" t="s">
        <v>138</v>
      </c>
      <c r="C87" s="4">
        <v>0.002473083177157976</v>
      </c>
      <c r="D87" s="5">
        <v>0.6728956467323728</v>
      </c>
      <c r="E87" s="129">
        <f t="shared" si="64"/>
        <v>0.0020003737894930423</v>
      </c>
      <c r="F87" s="134">
        <f t="shared" si="101"/>
        <v>21.285213581170762</v>
      </c>
      <c r="G87" s="134">
        <v>31.632265247268595</v>
      </c>
      <c r="H87" s="135">
        <f t="shared" si="102"/>
        <v>0.38731873425915375</v>
      </c>
      <c r="I87" s="136">
        <v>0.5756</v>
      </c>
      <c r="J87" s="136">
        <v>0.5756</v>
      </c>
      <c r="K87" s="137">
        <f t="shared" si="100"/>
        <v>0</v>
      </c>
      <c r="L87" s="133">
        <v>0.0020003737894930423</v>
      </c>
      <c r="M87" s="133">
        <f t="shared" si="65"/>
        <v>0.0031163047507941624</v>
      </c>
      <c r="N87" s="142">
        <f t="shared" si="66"/>
        <v>320.8928779334431</v>
      </c>
      <c r="O87" s="133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240</v>
      </c>
      <c r="B88" s="1" t="s">
        <v>127</v>
      </c>
      <c r="C88" s="4">
        <v>0.007098793683166134</v>
      </c>
      <c r="D88" s="5">
        <v>0.09742269257949118</v>
      </c>
      <c r="E88" s="129">
        <f t="shared" si="64"/>
        <v>0.00028961667635124674</v>
      </c>
      <c r="F88" s="134">
        <f t="shared" si="101"/>
        <v>61.097556730177494</v>
      </c>
      <c r="G88" s="134">
        <v>627.1388637747359</v>
      </c>
      <c r="H88" s="135">
        <f t="shared" si="102"/>
        <v>1.3456314567157062</v>
      </c>
      <c r="I88" s="136">
        <v>13.8123</v>
      </c>
      <c r="J88" s="136">
        <v>13.8123</v>
      </c>
      <c r="K88" s="137">
        <f t="shared" si="100"/>
        <v>0</v>
      </c>
      <c r="L88" s="133">
        <v>0.00028961667635124674</v>
      </c>
      <c r="M88" s="133">
        <f t="shared" si="65"/>
        <v>0.00045118258855577985</v>
      </c>
      <c r="N88" s="142">
        <f t="shared" si="66"/>
        <v>2216.397585733452</v>
      </c>
      <c r="O88" s="133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63</v>
      </c>
      <c r="B89" s="1" t="s">
        <v>127</v>
      </c>
      <c r="C89" s="4">
        <v>0.013357634770146622</v>
      </c>
      <c r="D89" s="5">
        <v>0.1411894105239228</v>
      </c>
      <c r="E89" s="129">
        <f t="shared" si="64"/>
        <v>0.00041972569972407374</v>
      </c>
      <c r="F89" s="134">
        <f t="shared" si="101"/>
        <v>114.965849773229</v>
      </c>
      <c r="G89" s="134">
        <v>814.2668019266887</v>
      </c>
      <c r="H89" s="135">
        <f t="shared" si="102"/>
        <v>1.4849878630674629</v>
      </c>
      <c r="I89" s="136">
        <v>10.5177</v>
      </c>
      <c r="J89" s="136">
        <v>10.5177</v>
      </c>
      <c r="K89" s="137">
        <f t="shared" si="100"/>
        <v>0</v>
      </c>
      <c r="L89" s="133">
        <v>0.00041972569972407374</v>
      </c>
      <c r="M89" s="133">
        <f t="shared" si="65"/>
        <v>0.000653874390351826</v>
      </c>
      <c r="N89" s="142">
        <f t="shared" si="66"/>
        <v>1529.345719537871</v>
      </c>
      <c r="O89" s="133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224</v>
      </c>
      <c r="B90" s="4"/>
      <c r="C90" s="4">
        <v>0.004444583287399405</v>
      </c>
      <c r="D90" s="5"/>
      <c r="E90" s="129"/>
      <c r="F90" s="134">
        <f>SUM(F91)</f>
        <v>38.25342609799141</v>
      </c>
      <c r="G90" s="128"/>
      <c r="H90" s="135">
        <f>SUM(H91)</f>
        <v>0.6041822191516916</v>
      </c>
      <c r="I90" s="136"/>
      <c r="J90" s="136"/>
      <c r="K90" s="137">
        <f t="shared" si="100"/>
        <v>0</v>
      </c>
      <c r="L90" s="133"/>
      <c r="M90" s="133"/>
      <c r="N90" s="142"/>
      <c r="O90" s="133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241</v>
      </c>
      <c r="B91" s="1" t="s">
        <v>138</v>
      </c>
      <c r="C91" s="4">
        <v>0.004444583287399405</v>
      </c>
      <c r="D91" s="5">
        <v>0.1811152070360897</v>
      </c>
      <c r="E91" s="129">
        <f t="shared" si="64"/>
        <v>0.0005384164911646315</v>
      </c>
      <c r="F91" s="134">
        <f>G91*$D91</f>
        <v>38.25342609799141</v>
      </c>
      <c r="G91" s="134">
        <v>211.2104594859828</v>
      </c>
      <c r="H91" s="135">
        <f>I91*$D91</f>
        <v>0.6041822191516916</v>
      </c>
      <c r="I91" s="136">
        <v>3.3359</v>
      </c>
      <c r="J91" s="136">
        <v>3.3359</v>
      </c>
      <c r="K91" s="137">
        <f t="shared" si="100"/>
        <v>0</v>
      </c>
      <c r="L91" s="133">
        <v>0.0005384164911646315</v>
      </c>
      <c r="M91" s="133">
        <f t="shared" si="65"/>
        <v>0.0008387781714273958</v>
      </c>
      <c r="N91" s="142">
        <f t="shared" si="66"/>
        <v>1192.210329339215</v>
      </c>
      <c r="O91" s="133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64</v>
      </c>
      <c r="B92" s="3"/>
      <c r="C92" s="4">
        <v>0.21033917230735313</v>
      </c>
      <c r="D92" s="5"/>
      <c r="E92" s="129"/>
      <c r="F92" s="134">
        <f>(F93+F96+F102+F106+F108+F112)</f>
        <v>1764.9225142648795</v>
      </c>
      <c r="G92" s="128"/>
      <c r="H92" s="135">
        <f>(H93+H96+H102+H106+H108+H112)</f>
        <v>79.72144212058683</v>
      </c>
      <c r="I92" s="136"/>
      <c r="J92" s="136"/>
      <c r="K92" s="137">
        <f t="shared" si="100"/>
        <v>0</v>
      </c>
      <c r="L92" s="133"/>
      <c r="M92" s="133"/>
      <c r="N92" s="142"/>
      <c r="O92" s="133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65</v>
      </c>
      <c r="B93" s="4"/>
      <c r="C93" s="4">
        <v>0.06024271386837174</v>
      </c>
      <c r="D93" s="5"/>
      <c r="E93" s="129"/>
      <c r="F93" s="134">
        <f>SUM(F94:F95)</f>
        <v>518.4940980720362</v>
      </c>
      <c r="G93" s="128"/>
      <c r="H93" s="135">
        <f>SUM(H94:H95)</f>
        <v>49.736765621286125</v>
      </c>
      <c r="I93" s="136"/>
      <c r="J93" s="136"/>
      <c r="K93" s="137">
        <f t="shared" si="100"/>
        <v>0</v>
      </c>
      <c r="L93" s="133"/>
      <c r="M93" s="133"/>
      <c r="N93" s="142"/>
      <c r="O93" s="133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265</v>
      </c>
      <c r="B94" s="1" t="s">
        <v>139</v>
      </c>
      <c r="C94" s="4">
        <v>0.009585809723294014</v>
      </c>
      <c r="D94" s="5">
        <v>0.24903595111484328</v>
      </c>
      <c r="E94" s="129">
        <f t="shared" si="64"/>
        <v>0.000740330230505616</v>
      </c>
      <c r="F94" s="134">
        <f>G94*$D94</f>
        <v>82.5026870075802</v>
      </c>
      <c r="G94" s="134">
        <v>331.2882603425157</v>
      </c>
      <c r="H94" s="135">
        <f>I94*$D94</f>
        <v>0.6786976775732824</v>
      </c>
      <c r="I94" s="136">
        <v>2.7253</v>
      </c>
      <c r="J94" s="136">
        <v>2.7253</v>
      </c>
      <c r="K94" s="137">
        <f t="shared" si="100"/>
        <v>0</v>
      </c>
      <c r="L94" s="133">
        <v>0.000740330230505616</v>
      </c>
      <c r="M94" s="133">
        <f t="shared" si="65"/>
        <v>0.0011533317555944775</v>
      </c>
      <c r="N94" s="142">
        <f t="shared" si="66"/>
        <v>867.0532092342818</v>
      </c>
      <c r="O94" s="133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66</v>
      </c>
      <c r="B95" s="4"/>
      <c r="C95" s="4">
        <v>0.05065690414507772</v>
      </c>
      <c r="D95" s="5">
        <v>2.872050438125708</v>
      </c>
      <c r="E95" s="129">
        <f t="shared" si="64"/>
        <v>0.00853798719969082</v>
      </c>
      <c r="F95" s="134">
        <f>G95*$D95</f>
        <v>435.99141106445603</v>
      </c>
      <c r="G95" s="134">
        <v>151.80492838036048</v>
      </c>
      <c r="H95" s="135">
        <f>I95*$D95</f>
        <v>49.05806794371284</v>
      </c>
      <c r="I95" s="136">
        <v>17.0812</v>
      </c>
      <c r="J95" s="136">
        <v>17.0812</v>
      </c>
      <c r="K95" s="137">
        <f t="shared" si="100"/>
        <v>0</v>
      </c>
      <c r="L95" s="133">
        <v>0.00853798719969082</v>
      </c>
      <c r="M95" s="133">
        <f t="shared" si="65"/>
        <v>0.01330099914944361</v>
      </c>
      <c r="N95" s="142">
        <f t="shared" si="66"/>
        <v>75.18232192668253</v>
      </c>
      <c r="O95" s="133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67</v>
      </c>
      <c r="B96" s="4"/>
      <c r="C96" s="4">
        <v>0.0423967068129203</v>
      </c>
      <c r="D96" s="5"/>
      <c r="E96" s="129"/>
      <c r="F96" s="134">
        <f>SUM(F97:F101)</f>
        <v>364.89794115551547</v>
      </c>
      <c r="G96" s="128"/>
      <c r="H96" s="135">
        <f>SUM(H97:H101)</f>
        <v>7.543609679226827</v>
      </c>
      <c r="I96" s="136"/>
      <c r="J96" s="136"/>
      <c r="K96" s="137">
        <f t="shared" si="100"/>
        <v>0</v>
      </c>
      <c r="L96" s="133"/>
      <c r="M96" s="133"/>
      <c r="N96" s="142"/>
      <c r="O96" s="133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68</v>
      </c>
      <c r="B97" s="1" t="s">
        <v>140</v>
      </c>
      <c r="C97" s="4">
        <v>0.007972583232278691</v>
      </c>
      <c r="D97" s="5">
        <v>1.3999689412296972</v>
      </c>
      <c r="E97" s="129">
        <f t="shared" si="64"/>
        <v>0.0041618060537907215</v>
      </c>
      <c r="F97" s="134">
        <f>G97*$D97</f>
        <v>68.6180466795811</v>
      </c>
      <c r="G97" s="134">
        <v>49.01397785247203</v>
      </c>
      <c r="H97" s="135">
        <f>I97*$D97</f>
        <v>0.8511811162676559</v>
      </c>
      <c r="I97" s="136">
        <v>0.608</v>
      </c>
      <c r="J97" s="136">
        <v>0.608</v>
      </c>
      <c r="K97" s="137">
        <f t="shared" si="100"/>
        <v>0</v>
      </c>
      <c r="L97" s="133">
        <v>0.0041618060537907215</v>
      </c>
      <c r="M97" s="133">
        <f t="shared" si="65"/>
        <v>0.006483516253529196</v>
      </c>
      <c r="N97" s="142">
        <f t="shared" si="66"/>
        <v>154.23729360679343</v>
      </c>
      <c r="O97" s="133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69</v>
      </c>
      <c r="B98" s="1" t="s">
        <v>141</v>
      </c>
      <c r="C98" s="4">
        <v>0.008687140061735201</v>
      </c>
      <c r="D98" s="5">
        <v>0.9563488580520678</v>
      </c>
      <c r="E98" s="129">
        <f t="shared" si="64"/>
        <v>0.00284301911975339</v>
      </c>
      <c r="F98" s="134">
        <f>G98*$D98</f>
        <v>74.76806010061956</v>
      </c>
      <c r="G98" s="134">
        <v>78.18073861970238</v>
      </c>
      <c r="H98" s="135">
        <f>I98*$D98</f>
        <v>1.2054777355746313</v>
      </c>
      <c r="I98" s="136">
        <v>1.2605</v>
      </c>
      <c r="J98" s="136">
        <v>1.2605</v>
      </c>
      <c r="K98" s="137">
        <f t="shared" si="100"/>
        <v>0</v>
      </c>
      <c r="L98" s="133">
        <v>0.00284301911975339</v>
      </c>
      <c r="M98" s="133">
        <f t="shared" si="65"/>
        <v>0.00442902923244733</v>
      </c>
      <c r="N98" s="142">
        <f t="shared" si="66"/>
        <v>225.78311126825287</v>
      </c>
      <c r="O98" s="133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243</v>
      </c>
      <c r="B99" s="1" t="s">
        <v>142</v>
      </c>
      <c r="C99" s="4">
        <v>0.006248889042001984</v>
      </c>
      <c r="D99" s="5">
        <v>4.131971162269747</v>
      </c>
      <c r="E99" s="129">
        <f t="shared" si="64"/>
        <v>0.012283460075991385</v>
      </c>
      <c r="F99" s="134">
        <f>G99*$D99</f>
        <v>53.78263826002866</v>
      </c>
      <c r="G99" s="134">
        <v>13.016218203828204</v>
      </c>
      <c r="H99" s="135">
        <f>I99*$D99</f>
        <v>2.0209470954661333</v>
      </c>
      <c r="I99" s="136">
        <v>0.4891</v>
      </c>
      <c r="J99" s="136">
        <v>0.4891</v>
      </c>
      <c r="K99" s="137">
        <f t="shared" si="100"/>
        <v>0</v>
      </c>
      <c r="L99" s="133">
        <v>0.012283460075991385</v>
      </c>
      <c r="M99" s="133">
        <f t="shared" si="65"/>
        <v>0.019135926091444877</v>
      </c>
      <c r="N99" s="142">
        <f t="shared" si="66"/>
        <v>52.257726917490096</v>
      </c>
      <c r="O99" s="133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70</v>
      </c>
      <c r="B100" s="1" t="s">
        <v>143</v>
      </c>
      <c r="C100" s="4">
        <v>0.007482942619336346</v>
      </c>
      <c r="D100" s="5">
        <v>2.159061567881073</v>
      </c>
      <c r="E100" s="129">
        <f t="shared" si="64"/>
        <v>0.006418424894356312</v>
      </c>
      <c r="F100" s="134">
        <f>G100*$D100</f>
        <v>64.40383135485835</v>
      </c>
      <c r="G100" s="134">
        <v>29.829548315319688</v>
      </c>
      <c r="H100" s="135">
        <f>I100*$D100</f>
        <v>2.2577306815332383</v>
      </c>
      <c r="I100" s="136">
        <v>1.0457</v>
      </c>
      <c r="J100" s="136">
        <v>1.0457</v>
      </c>
      <c r="K100" s="137">
        <f t="shared" si="100"/>
        <v>0</v>
      </c>
      <c r="L100" s="133">
        <v>0.006418424894356312</v>
      </c>
      <c r="M100" s="133">
        <f t="shared" si="65"/>
        <v>0.009999015232031795</v>
      </c>
      <c r="N100" s="142">
        <f t="shared" si="66"/>
        <v>100.00984864954552</v>
      </c>
      <c r="O100" s="133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144</v>
      </c>
      <c r="B101" s="1" t="s">
        <v>145</v>
      </c>
      <c r="C101" s="4">
        <v>0.012005151857568076</v>
      </c>
      <c r="D101" s="5">
        <v>0.9284409485055851</v>
      </c>
      <c r="E101" s="129">
        <f t="shared" si="64"/>
        <v>0.0027600549171353126</v>
      </c>
      <c r="F101" s="134">
        <f>G101*$D101</f>
        <v>103.32536476042776</v>
      </c>
      <c r="G101" s="134">
        <v>111.28910775288387</v>
      </c>
      <c r="H101" s="135">
        <f>I101*$D101</f>
        <v>1.2082730503851684</v>
      </c>
      <c r="I101" s="136">
        <v>1.3014</v>
      </c>
      <c r="J101" s="136">
        <v>1.3014</v>
      </c>
      <c r="K101" s="137">
        <f t="shared" si="100"/>
        <v>0</v>
      </c>
      <c r="L101" s="133">
        <v>0.0027600549171353126</v>
      </c>
      <c r="M101" s="133">
        <f t="shared" si="65"/>
        <v>0.004299782518596872</v>
      </c>
      <c r="N101" s="142">
        <f t="shared" si="66"/>
        <v>232.56990223922423</v>
      </c>
      <c r="O101" s="133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71</v>
      </c>
      <c r="B102" s="4"/>
      <c r="C102" s="4">
        <v>0.023842114154999452</v>
      </c>
      <c r="D102" s="5"/>
      <c r="E102" s="129"/>
      <c r="F102" s="134">
        <f>SUM(F103:F105)</f>
        <v>205.20316368776986</v>
      </c>
      <c r="G102" s="128"/>
      <c r="H102" s="135">
        <f>SUM(H103:H105)</f>
        <v>3.1313836330999014</v>
      </c>
      <c r="I102" s="136"/>
      <c r="J102" s="136"/>
      <c r="K102" s="137"/>
      <c r="L102" s="133"/>
      <c r="M102" s="133"/>
      <c r="N102" s="142"/>
      <c r="O102" s="133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72</v>
      </c>
      <c r="B103" s="1" t="s">
        <v>146</v>
      </c>
      <c r="C103" s="4">
        <v>0.008985701411090289</v>
      </c>
      <c r="D103" s="5">
        <v>2.7699558698433746</v>
      </c>
      <c r="E103" s="129">
        <f t="shared" si="64"/>
        <v>0.008234482043381177</v>
      </c>
      <c r="F103" s="134">
        <f>G103*$D103</f>
        <v>77.33770359130418</v>
      </c>
      <c r="G103" s="134">
        <v>27.92019339848804</v>
      </c>
      <c r="H103" s="135">
        <f>I103*$D103</f>
        <v>0.6735690608874654</v>
      </c>
      <c r="I103" s="136">
        <v>0.24316959999999999</v>
      </c>
      <c r="J103" s="140">
        <v>0.24316959999999999</v>
      </c>
      <c r="K103" s="137" t="s">
        <v>137</v>
      </c>
      <c r="L103" s="133">
        <v>0.008234482043381177</v>
      </c>
      <c r="M103" s="133">
        <f t="shared" si="65"/>
        <v>0.01282818023656535</v>
      </c>
      <c r="N103" s="142">
        <f t="shared" si="66"/>
        <v>77.95337932262656</v>
      </c>
      <c r="O103" s="133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244</v>
      </c>
      <c r="B104" s="1" t="s">
        <v>147</v>
      </c>
      <c r="C104" s="4">
        <v>0.008578662771469518</v>
      </c>
      <c r="D104" s="5">
        <v>1.0041456625202214</v>
      </c>
      <c r="E104" s="129">
        <f t="shared" si="64"/>
        <v>0.0029851087221217723</v>
      </c>
      <c r="F104" s="134">
        <f>G104*$D104</f>
        <v>73.83442296567083</v>
      </c>
      <c r="G104" s="134">
        <v>73.52959408335238</v>
      </c>
      <c r="H104" s="135">
        <f>I104*$D104</f>
        <v>0.9419890460102197</v>
      </c>
      <c r="I104" s="136">
        <v>0.9381</v>
      </c>
      <c r="J104" s="136">
        <v>0.9381</v>
      </c>
      <c r="K104" s="137">
        <f>J104-I104</f>
        <v>0</v>
      </c>
      <c r="L104" s="133">
        <v>0.0029851087221217723</v>
      </c>
      <c r="M104" s="133">
        <f t="shared" si="65"/>
        <v>0.004650385113645544</v>
      </c>
      <c r="N104" s="142">
        <f t="shared" si="66"/>
        <v>215.03595413328617</v>
      </c>
      <c r="O104" s="133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245</v>
      </c>
      <c r="B105" s="1" t="s">
        <v>127</v>
      </c>
      <c r="C105" s="4">
        <v>0.006277749972439644</v>
      </c>
      <c r="D105" s="5">
        <v>8.037250934264138</v>
      </c>
      <c r="E105" s="129">
        <f t="shared" si="64"/>
        <v>0.023893015486953908</v>
      </c>
      <c r="F105" s="134">
        <f>G105*$D105</f>
        <v>54.03103713079484</v>
      </c>
      <c r="G105" s="134">
        <v>6.722576857772543</v>
      </c>
      <c r="H105" s="135">
        <f>I105*$D105</f>
        <v>1.5158255262022164</v>
      </c>
      <c r="I105" s="136">
        <v>0.1886</v>
      </c>
      <c r="J105" s="136">
        <v>0.1886</v>
      </c>
      <c r="K105" s="137">
        <f>J105-I105</f>
        <v>0</v>
      </c>
      <c r="L105" s="133">
        <v>0.023893015486953908</v>
      </c>
      <c r="M105" s="133">
        <f t="shared" si="65"/>
        <v>0.03722200223972288</v>
      </c>
      <c r="N105" s="142">
        <f t="shared" si="66"/>
        <v>26.86583041824687</v>
      </c>
      <c r="O105" s="133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73</v>
      </c>
      <c r="B106" s="3"/>
      <c r="C106" s="4">
        <v>0.011676734373277478</v>
      </c>
      <c r="D106" s="5"/>
      <c r="E106" s="129"/>
      <c r="F106" s="134">
        <f>SUM(F107)</f>
        <v>100.49875692067468</v>
      </c>
      <c r="G106" s="128"/>
      <c r="H106" s="135">
        <f>SUM(H107)</f>
        <v>4.740861798629507</v>
      </c>
      <c r="I106" s="136"/>
      <c r="J106" s="136"/>
      <c r="K106" s="137">
        <f>J106-I106</f>
        <v>0</v>
      </c>
      <c r="L106" s="133"/>
      <c r="M106" s="133"/>
      <c r="N106" s="142"/>
      <c r="O106" s="133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0</v>
      </c>
    </row>
    <row r="107" spans="1:56" ht="12.75">
      <c r="A107" s="1" t="s">
        <v>74</v>
      </c>
      <c r="B107" s="1" t="s">
        <v>148</v>
      </c>
      <c r="C107" s="4">
        <v>0.011676734373277478</v>
      </c>
      <c r="D107" s="5">
        <v>5.914986648321282</v>
      </c>
      <c r="E107" s="129">
        <f t="shared" si="64"/>
        <v>0.01758398098421514</v>
      </c>
      <c r="F107" s="134">
        <f>G107*$D107</f>
        <v>100.49875692067468</v>
      </c>
      <c r="G107" s="134">
        <v>16.99052980097546</v>
      </c>
      <c r="H107" s="135">
        <f>I107*$D107</f>
        <v>4.740861798629507</v>
      </c>
      <c r="I107" s="136">
        <v>0.8015</v>
      </c>
      <c r="J107" s="136">
        <v>0.8015</v>
      </c>
      <c r="K107" s="137">
        <f>J107-I107</f>
        <v>0</v>
      </c>
      <c r="L107" s="133">
        <v>0.01758398098421514</v>
      </c>
      <c r="M107" s="133">
        <f t="shared" si="65"/>
        <v>0.02739340205655821</v>
      </c>
      <c r="N107" s="142">
        <f t="shared" si="66"/>
        <v>36.505140834107955</v>
      </c>
      <c r="O107" s="133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75</v>
      </c>
      <c r="B108" s="3"/>
      <c r="C108" s="4">
        <v>0.03165790309778415</v>
      </c>
      <c r="D108" s="5"/>
      <c r="E108" s="129"/>
      <c r="F108" s="134">
        <f>SUM(F109:F111)</f>
        <v>227.06055442888325</v>
      </c>
      <c r="G108" s="128"/>
      <c r="H108" s="135">
        <f>SUM(H109:H111)</f>
        <v>5.268341388344465</v>
      </c>
      <c r="I108" s="136"/>
      <c r="J108" s="136"/>
      <c r="K108" s="137">
        <f>J108-I108</f>
        <v>0</v>
      </c>
      <c r="L108" s="133"/>
      <c r="M108" s="133"/>
      <c r="N108" s="142"/>
      <c r="O108" s="133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0</v>
      </c>
    </row>
    <row r="109" spans="1:56" ht="12.75">
      <c r="A109" s="1" t="s">
        <v>76</v>
      </c>
      <c r="B109" s="3"/>
      <c r="C109" s="4">
        <v>0.013276028001322897</v>
      </c>
      <c r="D109" s="5">
        <v>1.9675170824510573</v>
      </c>
      <c r="E109" s="129">
        <f t="shared" si="64"/>
        <v>0.00584900440540414</v>
      </c>
      <c r="F109" s="134">
        <f>G109*$D109</f>
        <v>95.21956712703486</v>
      </c>
      <c r="G109" s="134">
        <v>48.39580198633599</v>
      </c>
      <c r="H109" s="135">
        <f>I109*$D109</f>
        <v>1.399494900747437</v>
      </c>
      <c r="I109" s="136">
        <v>0.7113</v>
      </c>
      <c r="J109" s="136">
        <v>0.7113</v>
      </c>
      <c r="K109" s="137" t="s">
        <v>137</v>
      </c>
      <c r="L109" s="133">
        <v>0.00584900440540414</v>
      </c>
      <c r="M109" s="133">
        <f t="shared" si="65"/>
        <v>0.009111937134807326</v>
      </c>
      <c r="N109" s="142">
        <f t="shared" si="66"/>
        <v>109.74614785038739</v>
      </c>
      <c r="O109" s="133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77</v>
      </c>
      <c r="B110" s="4"/>
      <c r="C110" s="4">
        <v>0.01413787509646125</v>
      </c>
      <c r="D110" s="5">
        <v>1.0872240412770884</v>
      </c>
      <c r="E110" s="129">
        <f t="shared" si="64"/>
        <v>0.0032320828438088894</v>
      </c>
      <c r="F110" s="134">
        <f>G110*$D110</f>
        <v>101.40098730184839</v>
      </c>
      <c r="G110" s="134">
        <v>93.26595389</v>
      </c>
      <c r="H110" s="135">
        <f>I110*$D110</f>
        <v>2.8712499706086625</v>
      </c>
      <c r="I110" s="136">
        <v>2.6409</v>
      </c>
      <c r="J110" s="136">
        <v>2.6409</v>
      </c>
      <c r="K110" s="137" t="s">
        <v>137</v>
      </c>
      <c r="L110" s="133">
        <v>0.0032320828438088894</v>
      </c>
      <c r="M110" s="133">
        <f t="shared" si="65"/>
        <v>0.00503513651999737</v>
      </c>
      <c r="N110" s="142">
        <f t="shared" si="66"/>
        <v>198.60434687886524</v>
      </c>
      <c r="O110" s="133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266</v>
      </c>
      <c r="B111" s="11"/>
      <c r="C111" s="9">
        <v>0.004244</v>
      </c>
      <c r="D111" s="10">
        <v>0.07333111709705717</v>
      </c>
      <c r="E111" s="129">
        <f t="shared" si="64"/>
        <v>0.00021799761271682052</v>
      </c>
      <c r="F111" s="134">
        <f>G111*$D111</f>
        <v>30.439999999999998</v>
      </c>
      <c r="G111" s="138">
        <v>415.1034541</v>
      </c>
      <c r="H111" s="135">
        <f>I111*$D111</f>
        <v>0.9975965169883657</v>
      </c>
      <c r="I111" s="136">
        <v>13.604</v>
      </c>
      <c r="J111" s="136">
        <v>13.604</v>
      </c>
      <c r="K111" s="137">
        <f>J111-I111</f>
        <v>0</v>
      </c>
      <c r="L111" s="133"/>
      <c r="M111" s="133"/>
      <c r="N111" s="142"/>
      <c r="O111" s="133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78</v>
      </c>
      <c r="B112" s="4"/>
      <c r="C112" s="9">
        <v>0.040523</v>
      </c>
      <c r="D112" s="10"/>
      <c r="E112" s="129"/>
      <c r="F112" s="134">
        <f>SUM(F113)</f>
        <v>348.76800000000003</v>
      </c>
      <c r="G112" s="128"/>
      <c r="H112" s="135">
        <f>SUM(H113)</f>
        <v>9.30048</v>
      </c>
      <c r="I112" s="136"/>
      <c r="J112" s="136"/>
      <c r="K112" s="137">
        <f>J112-I112</f>
        <v>0</v>
      </c>
      <c r="L112" s="133"/>
      <c r="M112" s="133"/>
      <c r="N112" s="133"/>
      <c r="O112" s="133"/>
      <c r="P112" s="9"/>
      <c r="V112" s="10"/>
      <c r="BB112">
        <f t="shared" si="62"/>
        <v>0</v>
      </c>
      <c r="BC112" s="15">
        <f t="shared" si="63"/>
        <v>0</v>
      </c>
      <c r="BD112" s="15" t="s">
        <v>0</v>
      </c>
    </row>
    <row r="113" spans="1:56" ht="12.75">
      <c r="A113" s="1" t="s">
        <v>79</v>
      </c>
      <c r="B113" s="1" t="s">
        <v>149</v>
      </c>
      <c r="C113" s="9">
        <v>0.040523</v>
      </c>
      <c r="D113" s="10">
        <v>116.256</v>
      </c>
      <c r="E113" s="129">
        <f t="shared" si="64"/>
        <v>0.34560404187574745</v>
      </c>
      <c r="F113" s="134">
        <f>G113*$D113</f>
        <v>348.76800000000003</v>
      </c>
      <c r="G113" s="134">
        <v>3</v>
      </c>
      <c r="H113" s="135">
        <f>I113*$D113</f>
        <v>9.30048</v>
      </c>
      <c r="I113" s="136">
        <v>0.08</v>
      </c>
      <c r="J113" s="136">
        <v>0.08</v>
      </c>
      <c r="K113" s="137">
        <f>J113-I113</f>
        <v>0</v>
      </c>
      <c r="L113" s="133"/>
      <c r="M113" s="133"/>
      <c r="N113" s="133"/>
      <c r="O113" s="133"/>
      <c r="P113" s="9"/>
      <c r="T113" s="15" t="s">
        <v>0</v>
      </c>
      <c r="V113" s="10">
        <v>145.32</v>
      </c>
      <c r="AJ113" s="15" t="s">
        <v>0</v>
      </c>
      <c r="AK113" t="s">
        <v>0</v>
      </c>
      <c r="AZ113" t="s">
        <v>0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73"/>
      <c r="BD114" s="15"/>
    </row>
    <row r="115" spans="4:56" ht="12.75">
      <c r="D115" s="13"/>
      <c r="E115" s="13"/>
      <c r="I115" s="69"/>
      <c r="J115" s="69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8.8515625" style="0" customWidth="1"/>
    <col min="5" max="15" width="7.57421875" style="0" bestFit="1" customWidth="1"/>
  </cols>
  <sheetData>
    <row r="1" spans="1:2" ht="12.75">
      <c r="A1" s="214" t="s">
        <v>305</v>
      </c>
      <c r="B1" s="214"/>
    </row>
    <row r="3" spans="1:15" ht="12.75">
      <c r="A3" s="162" t="s">
        <v>247</v>
      </c>
      <c r="B3" s="49" t="s">
        <v>248</v>
      </c>
      <c r="C3" s="76">
        <v>39052</v>
      </c>
      <c r="D3" s="76">
        <v>39083</v>
      </c>
      <c r="E3" s="76">
        <v>39114</v>
      </c>
      <c r="F3" s="76">
        <v>39142</v>
      </c>
      <c r="G3" s="76">
        <v>39173</v>
      </c>
      <c r="H3" s="76">
        <v>39203</v>
      </c>
      <c r="I3" s="76">
        <v>39234</v>
      </c>
      <c r="J3" s="76">
        <v>39264</v>
      </c>
      <c r="K3" s="76">
        <v>39295</v>
      </c>
      <c r="L3" s="76">
        <v>39326</v>
      </c>
      <c r="M3" s="76">
        <v>39356</v>
      </c>
      <c r="N3" s="76">
        <v>39387</v>
      </c>
      <c r="O3" s="76">
        <v>39417</v>
      </c>
    </row>
    <row r="4" ht="12.75">
      <c r="B4" t="s">
        <v>0</v>
      </c>
    </row>
    <row r="6" spans="1:2" ht="12.75">
      <c r="A6">
        <v>10000</v>
      </c>
      <c r="B6" s="68" t="s">
        <v>1</v>
      </c>
    </row>
    <row r="7" spans="1:2" ht="12.75">
      <c r="A7">
        <v>10100</v>
      </c>
      <c r="B7" s="68" t="s">
        <v>168</v>
      </c>
    </row>
    <row r="8" spans="1:14" ht="12.75">
      <c r="A8">
        <v>10101</v>
      </c>
      <c r="B8" s="1" t="s">
        <v>3</v>
      </c>
      <c r="C8" s="211">
        <v>0.6317737973588701</v>
      </c>
      <c r="D8" s="213">
        <v>0.62675785509027</v>
      </c>
      <c r="E8" s="211">
        <v>0.64107455006541</v>
      </c>
      <c r="F8" s="211">
        <v>0.66806285360723</v>
      </c>
      <c r="G8" s="211">
        <v>0.67469531038044</v>
      </c>
      <c r="H8" s="211">
        <v>0.67611967257362</v>
      </c>
      <c r="I8" s="19">
        <v>0.6762900147664</v>
      </c>
      <c r="J8" s="211">
        <v>0.70155691451776</v>
      </c>
      <c r="K8" s="211">
        <v>0.71042205826094</v>
      </c>
      <c r="L8" s="211">
        <v>0.73582922827255</v>
      </c>
      <c r="M8" s="211">
        <v>0.73599867008853</v>
      </c>
      <c r="N8" s="211"/>
    </row>
    <row r="9" spans="1:14" ht="12.75">
      <c r="A9">
        <v>10103</v>
      </c>
      <c r="B9" s="1" t="s">
        <v>4</v>
      </c>
      <c r="C9" s="211">
        <v>0.631195141393604</v>
      </c>
      <c r="D9" s="213">
        <v>0.6315312862559888</v>
      </c>
      <c r="E9" s="211">
        <v>0.6339160948103371</v>
      </c>
      <c r="F9" s="211">
        <v>0.6412196329577842</v>
      </c>
      <c r="G9" s="211">
        <v>0.6442291636035874</v>
      </c>
      <c r="H9" s="211">
        <v>0.6542516764113872</v>
      </c>
      <c r="I9" s="19">
        <v>0.6572061622424007</v>
      </c>
      <c r="J9" s="211">
        <v>0.6614777161915475</v>
      </c>
      <c r="K9" s="211">
        <v>0.6558559540439882</v>
      </c>
      <c r="L9" s="211">
        <v>0.700098920526244</v>
      </c>
      <c r="M9" s="211">
        <v>0.7086777393215985</v>
      </c>
      <c r="N9" s="211"/>
    </row>
    <row r="10" spans="1:14" ht="12.75">
      <c r="A10">
        <v>10106</v>
      </c>
      <c r="B10" s="1" t="s">
        <v>5</v>
      </c>
      <c r="C10" s="211">
        <v>1.51232105854347</v>
      </c>
      <c r="D10" s="213">
        <v>1.51663837564664</v>
      </c>
      <c r="E10" s="211">
        <v>1.49000943754867</v>
      </c>
      <c r="F10" s="211">
        <v>1.50835641702987</v>
      </c>
      <c r="G10" s="211">
        <v>1.49564105369139</v>
      </c>
      <c r="H10" s="211">
        <v>1.48585279739197</v>
      </c>
      <c r="I10" s="19">
        <v>1.49704198148629</v>
      </c>
      <c r="J10" s="211">
        <v>1.52216395738496</v>
      </c>
      <c r="K10" s="211">
        <v>1.58556365106338</v>
      </c>
      <c r="L10" s="211">
        <v>1.60364754555409</v>
      </c>
      <c r="M10" s="211">
        <v>1.59127193998032</v>
      </c>
      <c r="N10" s="211"/>
    </row>
    <row r="11" spans="1:14" ht="12.75">
      <c r="A11">
        <v>10200</v>
      </c>
      <c r="B11" s="68" t="s">
        <v>250</v>
      </c>
      <c r="C11" s="211"/>
      <c r="D11" s="213"/>
      <c r="E11" s="211"/>
      <c r="F11" s="211"/>
      <c r="G11" s="211"/>
      <c r="H11" s="211"/>
      <c r="I11" s="19"/>
      <c r="J11" s="211"/>
      <c r="K11" s="211"/>
      <c r="L11" s="211"/>
      <c r="M11" s="211"/>
      <c r="N11" s="211"/>
    </row>
    <row r="12" spans="1:14" ht="12.75">
      <c r="A12">
        <v>10201</v>
      </c>
      <c r="B12" s="1" t="s">
        <v>7</v>
      </c>
      <c r="C12" s="211">
        <v>2.37342256794564</v>
      </c>
      <c r="D12" s="213">
        <v>2.36897708400998</v>
      </c>
      <c r="E12" s="211">
        <v>2.35537028836962</v>
      </c>
      <c r="F12" s="211">
        <v>2.3817187904172</v>
      </c>
      <c r="G12" s="211">
        <v>2.3556390466728</v>
      </c>
      <c r="H12" s="211">
        <v>2.37850381807782</v>
      </c>
      <c r="I12" s="19">
        <v>2.4026728536078</v>
      </c>
      <c r="J12" s="211">
        <v>2.38334570865523</v>
      </c>
      <c r="K12" s="211">
        <v>2.38814618682571</v>
      </c>
      <c r="L12" s="211">
        <v>2.37408770835026</v>
      </c>
      <c r="M12" s="211">
        <v>2.36517286468803</v>
      </c>
      <c r="N12" s="211"/>
    </row>
    <row r="13" spans="1:14" ht="12.75">
      <c r="A13">
        <v>10202</v>
      </c>
      <c r="B13" s="1" t="s">
        <v>8</v>
      </c>
      <c r="C13" s="211">
        <v>3.5825716949798</v>
      </c>
      <c r="D13" s="213">
        <v>3.56535303477476</v>
      </c>
      <c r="E13" s="211">
        <v>3.63022460656404</v>
      </c>
      <c r="F13" s="211">
        <v>3.63364655132776</v>
      </c>
      <c r="G13" s="211">
        <v>3.61314228045749</v>
      </c>
      <c r="H13" s="211">
        <v>3.64804966705373</v>
      </c>
      <c r="I13" s="19">
        <v>3.64821011488715</v>
      </c>
      <c r="J13" s="211">
        <v>3.68865029776863</v>
      </c>
      <c r="K13" s="211">
        <v>3.67438140082547</v>
      </c>
      <c r="L13" s="211">
        <v>3.65584538658707</v>
      </c>
      <c r="M13" s="211">
        <v>3.73814766897999</v>
      </c>
      <c r="N13" s="211"/>
    </row>
    <row r="14" spans="1:14" ht="12.75">
      <c r="A14">
        <v>10204</v>
      </c>
      <c r="B14" s="1" t="s">
        <v>9</v>
      </c>
      <c r="C14" s="211">
        <v>2.12696890713095</v>
      </c>
      <c r="D14" s="213">
        <v>2.13109526712469</v>
      </c>
      <c r="E14" s="211">
        <v>2.11117105467396</v>
      </c>
      <c r="F14" s="211">
        <v>2.10947213832188</v>
      </c>
      <c r="G14" s="211">
        <v>2.0943157499242</v>
      </c>
      <c r="H14" s="211">
        <v>2.10815699335875</v>
      </c>
      <c r="I14" s="19">
        <v>2.12158059959849</v>
      </c>
      <c r="J14" s="211">
        <v>2.23444709710211</v>
      </c>
      <c r="K14" s="211">
        <v>2.26948732690106</v>
      </c>
      <c r="L14" s="211">
        <v>2.26799039659299</v>
      </c>
      <c r="M14" s="211">
        <v>2.20081245331778</v>
      </c>
      <c r="N14" s="211"/>
    </row>
    <row r="15" spans="1:14" ht="12.75">
      <c r="A15">
        <v>10300</v>
      </c>
      <c r="B15" s="68" t="s">
        <v>251</v>
      </c>
      <c r="C15" s="211"/>
      <c r="D15" s="213"/>
      <c r="E15" s="211"/>
      <c r="F15" s="211"/>
      <c r="G15" s="211"/>
      <c r="H15" s="211"/>
      <c r="I15" s="19"/>
      <c r="J15" s="211"/>
      <c r="K15" s="211"/>
      <c r="L15" s="211"/>
      <c r="M15" s="211"/>
      <c r="N15" s="211"/>
    </row>
    <row r="16" spans="1:14" ht="12.75">
      <c r="A16">
        <v>10301</v>
      </c>
      <c r="B16" s="1" t="s">
        <v>11</v>
      </c>
      <c r="C16" s="211">
        <v>7.19597833106862</v>
      </c>
      <c r="D16" s="213">
        <v>7.25843467353968</v>
      </c>
      <c r="E16" s="211">
        <v>7.54870101405584</v>
      </c>
      <c r="F16" s="211">
        <v>7.91770184898845</v>
      </c>
      <c r="G16" s="211">
        <v>7.75167466236111</v>
      </c>
      <c r="H16" s="211">
        <v>7.60598169583965</v>
      </c>
      <c r="I16" s="19">
        <v>7.25885637928298</v>
      </c>
      <c r="J16" s="211">
        <v>6.86646474135843</v>
      </c>
      <c r="K16" s="211">
        <v>6.73742600781694</v>
      </c>
      <c r="L16" s="211">
        <v>6.643087400360339</v>
      </c>
      <c r="M16" s="211">
        <v>6.9406312389641</v>
      </c>
      <c r="N16" s="211"/>
    </row>
    <row r="17" spans="1:14" ht="12.75">
      <c r="A17">
        <v>10303</v>
      </c>
      <c r="B17" s="74" t="s">
        <v>260</v>
      </c>
      <c r="C17" s="211">
        <v>0.7755061012923145</v>
      </c>
      <c r="D17" s="213">
        <v>0.7780645700236236</v>
      </c>
      <c r="E17" s="211">
        <v>0.7759978477782262</v>
      </c>
      <c r="F17" s="211">
        <v>0.7761514997051265</v>
      </c>
      <c r="G17" s="211">
        <v>0.7777734480674411</v>
      </c>
      <c r="H17" s="211">
        <v>0.7775007852755166</v>
      </c>
      <c r="I17" s="19">
        <v>0.8010587059918243</v>
      </c>
      <c r="J17" s="211">
        <v>0.8127992204016404</v>
      </c>
      <c r="K17" s="211">
        <v>0.8279533013832708</v>
      </c>
      <c r="L17" s="211">
        <v>0.8295246323739485</v>
      </c>
      <c r="M17" s="211">
        <v>0.8686105041605959</v>
      </c>
      <c r="N17" s="211"/>
    </row>
    <row r="18" spans="1:14" ht="12.75">
      <c r="A18">
        <v>10400</v>
      </c>
      <c r="B18" s="68" t="s">
        <v>174</v>
      </c>
      <c r="C18" s="211"/>
      <c r="D18" s="213"/>
      <c r="E18" s="211"/>
      <c r="F18" s="211"/>
      <c r="G18" s="211"/>
      <c r="H18" s="211"/>
      <c r="I18" s="19"/>
      <c r="J18" s="211"/>
      <c r="K18" s="211"/>
      <c r="L18" s="211"/>
      <c r="M18" s="211"/>
      <c r="N18" s="211"/>
    </row>
    <row r="19" spans="1:14" ht="12.75">
      <c r="A19">
        <v>10401</v>
      </c>
      <c r="B19" s="1" t="s">
        <v>13</v>
      </c>
      <c r="C19" s="211">
        <v>1.3316362738701</v>
      </c>
      <c r="D19" s="213">
        <v>1.33704995710206</v>
      </c>
      <c r="E19" s="211">
        <v>1.33348689950298</v>
      </c>
      <c r="F19" s="211">
        <v>1.3526928318844</v>
      </c>
      <c r="G19" s="211">
        <v>1.35559884817736</v>
      </c>
      <c r="H19" s="211">
        <v>1.35218644565747</v>
      </c>
      <c r="I19" s="19">
        <v>1.35577244169655</v>
      </c>
      <c r="J19" s="211">
        <v>1.3797998696189997</v>
      </c>
      <c r="K19" s="211">
        <v>1.42780164143834</v>
      </c>
      <c r="L19" s="211">
        <v>1.46380907654508</v>
      </c>
      <c r="M19" s="211">
        <v>1.4584791383413398</v>
      </c>
      <c r="N19" s="211"/>
    </row>
    <row r="20" spans="1:14" ht="12.75">
      <c r="A20">
        <v>10403</v>
      </c>
      <c r="B20" s="1" t="s">
        <v>14</v>
      </c>
      <c r="C20" s="212" t="s">
        <v>359</v>
      </c>
      <c r="D20" s="212" t="s">
        <v>359</v>
      </c>
      <c r="E20" s="212" t="s">
        <v>359</v>
      </c>
      <c r="F20" s="212" t="s">
        <v>359</v>
      </c>
      <c r="G20" s="212" t="s">
        <v>359</v>
      </c>
      <c r="H20" s="212" t="s">
        <v>359</v>
      </c>
      <c r="I20" s="212" t="s">
        <v>359</v>
      </c>
      <c r="J20" s="212" t="s">
        <v>359</v>
      </c>
      <c r="K20" s="212" t="s">
        <v>359</v>
      </c>
      <c r="L20" s="212" t="s">
        <v>359</v>
      </c>
      <c r="M20" s="212" t="s">
        <v>359</v>
      </c>
      <c r="N20" s="212"/>
    </row>
    <row r="21" spans="1:14" ht="12.75">
      <c r="A21">
        <v>10500</v>
      </c>
      <c r="B21" s="68" t="s">
        <v>252</v>
      </c>
      <c r="C21" s="211"/>
      <c r="D21" s="213"/>
      <c r="E21" s="211"/>
      <c r="F21" s="211"/>
      <c r="G21" s="211"/>
      <c r="H21" s="211"/>
      <c r="I21" s="19"/>
      <c r="J21" s="211"/>
      <c r="K21" s="211"/>
      <c r="L21" s="211"/>
      <c r="M21" s="211"/>
      <c r="N21" s="211"/>
    </row>
    <row r="22" spans="1:14" ht="12.75">
      <c r="A22">
        <v>10501</v>
      </c>
      <c r="B22" s="1" t="s">
        <v>16</v>
      </c>
      <c r="C22" s="211">
        <v>1.25396842260631</v>
      </c>
      <c r="D22" s="213">
        <v>1.24751934865318</v>
      </c>
      <c r="E22" s="211">
        <v>1.2375447202597099</v>
      </c>
      <c r="F22" s="211">
        <v>1.25086190259601</v>
      </c>
      <c r="G22" s="211">
        <v>1.2551406355408</v>
      </c>
      <c r="H22" s="211">
        <v>1.26466166216542</v>
      </c>
      <c r="I22" s="19">
        <v>1.24491862878838</v>
      </c>
      <c r="J22" s="211">
        <v>1.23999097285613</v>
      </c>
      <c r="K22" s="211">
        <v>1.2477115747105</v>
      </c>
      <c r="L22" s="211">
        <v>1.23054781936365</v>
      </c>
      <c r="M22" s="211">
        <v>1.27948915532659</v>
      </c>
      <c r="N22" s="211"/>
    </row>
    <row r="23" spans="1:14" ht="12.75">
      <c r="A23">
        <v>10502</v>
      </c>
      <c r="B23" s="1" t="s">
        <v>17</v>
      </c>
      <c r="C23" s="211">
        <v>0.59091255109626</v>
      </c>
      <c r="D23" s="213">
        <v>0.59066512457744</v>
      </c>
      <c r="E23" s="211">
        <v>0.58860365241465</v>
      </c>
      <c r="F23" s="211">
        <v>0.5878113029199</v>
      </c>
      <c r="G23" s="211">
        <v>0.58915302999917</v>
      </c>
      <c r="H23" s="211">
        <v>0.58621456887069</v>
      </c>
      <c r="I23" s="19">
        <v>0.5876661651945801</v>
      </c>
      <c r="J23" s="211">
        <v>0.59574309702897</v>
      </c>
      <c r="K23" s="211">
        <v>0.61249432573447</v>
      </c>
      <c r="L23" s="211">
        <v>0.60614651970371</v>
      </c>
      <c r="M23" s="211">
        <v>0.61677070528879</v>
      </c>
      <c r="N23" s="211"/>
    </row>
    <row r="24" spans="1:14" ht="12.75">
      <c r="A24">
        <v>10504</v>
      </c>
      <c r="B24" s="1" t="s">
        <v>18</v>
      </c>
      <c r="C24" s="211">
        <v>2.99743147732229</v>
      </c>
      <c r="D24" s="213">
        <v>2.8440104976763</v>
      </c>
      <c r="E24" s="211">
        <v>2.74726632014509</v>
      </c>
      <c r="F24" s="211">
        <v>2.78303420178708</v>
      </c>
      <c r="G24" s="211">
        <v>2.99976734469314</v>
      </c>
      <c r="H24" s="211">
        <v>2.96892152206636</v>
      </c>
      <c r="I24" s="19">
        <v>2.8825132585139</v>
      </c>
      <c r="J24" s="211">
        <v>2.9267451617048</v>
      </c>
      <c r="K24" s="211">
        <v>2.87507729561345</v>
      </c>
      <c r="L24" s="211">
        <v>2.90077647858518</v>
      </c>
      <c r="M24" s="211">
        <v>2.93186304431671</v>
      </c>
      <c r="N24" s="211"/>
    </row>
    <row r="25" spans="1:14" ht="12.75">
      <c r="A25">
        <v>10600</v>
      </c>
      <c r="B25" s="68" t="s">
        <v>178</v>
      </c>
      <c r="C25" s="211"/>
      <c r="D25" s="213"/>
      <c r="E25" s="211"/>
      <c r="F25" s="211"/>
      <c r="G25" s="211"/>
      <c r="H25" s="211"/>
      <c r="I25" s="19"/>
      <c r="J25" s="211"/>
      <c r="K25" s="211"/>
      <c r="L25" s="211"/>
      <c r="M25" s="211"/>
      <c r="N25" s="211"/>
    </row>
    <row r="26" spans="1:14" ht="12.75">
      <c r="A26">
        <v>10601</v>
      </c>
      <c r="B26" s="1" t="s">
        <v>20</v>
      </c>
      <c r="C26" s="211">
        <v>2.00718730138819</v>
      </c>
      <c r="D26" s="213">
        <v>2.22440520112829</v>
      </c>
      <c r="E26" s="211">
        <v>2.3224358364638302</v>
      </c>
      <c r="F26" s="211">
        <v>2.48587564387435</v>
      </c>
      <c r="G26" s="211">
        <v>2.52201319713044</v>
      </c>
      <c r="H26" s="211">
        <v>2.21385578729887</v>
      </c>
      <c r="I26" s="19">
        <v>2.19171926251377</v>
      </c>
      <c r="J26" s="211">
        <v>2.29807303119723</v>
      </c>
      <c r="K26" s="211">
        <v>2.23104466911402</v>
      </c>
      <c r="L26" s="211">
        <v>2.22993717308632</v>
      </c>
      <c r="M26" s="211">
        <v>2.19088543666729</v>
      </c>
      <c r="N26" s="211"/>
    </row>
    <row r="27" spans="1:14" ht="12.75">
      <c r="A27">
        <v>10602</v>
      </c>
      <c r="B27" s="1" t="s">
        <v>21</v>
      </c>
      <c r="C27" s="211">
        <v>0.82110660962468</v>
      </c>
      <c r="D27" s="213">
        <v>0.84882513051706</v>
      </c>
      <c r="E27" s="211">
        <v>0.80510166998159</v>
      </c>
      <c r="F27" s="211">
        <v>0.7762701128339</v>
      </c>
      <c r="G27" s="211">
        <v>0.75794954403938</v>
      </c>
      <c r="H27" s="211">
        <v>0.76257599073322</v>
      </c>
      <c r="I27" s="19">
        <v>0.75043624038812</v>
      </c>
      <c r="J27" s="211">
        <v>0.76916260916411</v>
      </c>
      <c r="K27" s="211">
        <v>0.7606553415700401</v>
      </c>
      <c r="L27" s="211">
        <v>0.76504192026044</v>
      </c>
      <c r="M27" s="211">
        <v>0.77547116120948</v>
      </c>
      <c r="N27" s="211"/>
    </row>
    <row r="28" spans="1:14" ht="12.75">
      <c r="A28">
        <v>10603</v>
      </c>
      <c r="B28" s="1" t="s">
        <v>22</v>
      </c>
      <c r="C28" s="211">
        <v>0.58238797634792</v>
      </c>
      <c r="D28" s="213">
        <v>0.5550218308281</v>
      </c>
      <c r="E28" s="211">
        <v>0.55924548457515</v>
      </c>
      <c r="F28" s="211">
        <v>0.54939271234694</v>
      </c>
      <c r="G28" s="211">
        <v>0.54516493286443</v>
      </c>
      <c r="H28" s="211">
        <v>0.61101008344836</v>
      </c>
      <c r="I28" s="19">
        <v>0.67597016940925</v>
      </c>
      <c r="J28" s="211">
        <v>0.6891902186282801</v>
      </c>
      <c r="K28" s="211">
        <v>0.6309725623670901</v>
      </c>
      <c r="L28" s="211">
        <v>0.60192184905202</v>
      </c>
      <c r="M28" s="211">
        <v>0.53910051612889</v>
      </c>
      <c r="N28" s="211"/>
    </row>
    <row r="29" spans="1:14" ht="12.75">
      <c r="A29">
        <v>10606</v>
      </c>
      <c r="B29" s="1" t="s">
        <v>23</v>
      </c>
      <c r="C29" s="211">
        <v>1.29089228651186</v>
      </c>
      <c r="D29" s="213">
        <v>1.21298465348271</v>
      </c>
      <c r="E29" s="211">
        <v>1.1932932400165</v>
      </c>
      <c r="F29" s="211">
        <v>1.07539299228095</v>
      </c>
      <c r="G29" s="211">
        <v>1.06675542657589</v>
      </c>
      <c r="H29" s="211">
        <v>1.08362150922317</v>
      </c>
      <c r="I29" s="19">
        <v>1.05510556454477</v>
      </c>
      <c r="J29" s="211">
        <v>1.09236159681541</v>
      </c>
      <c r="K29" s="211">
        <v>0.99988910251679</v>
      </c>
      <c r="L29" s="211">
        <v>1.06874581759435</v>
      </c>
      <c r="M29" s="211">
        <v>1.09453633973135</v>
      </c>
      <c r="N29" s="211"/>
    </row>
    <row r="30" spans="1:14" ht="12.75">
      <c r="A30">
        <v>10607</v>
      </c>
      <c r="B30" s="1" t="s">
        <v>232</v>
      </c>
      <c r="C30" s="211">
        <v>2.05200013256387</v>
      </c>
      <c r="D30" s="213">
        <v>2.04987618089875</v>
      </c>
      <c r="E30" s="211">
        <v>2.01390866654765</v>
      </c>
      <c r="F30" s="211">
        <v>2.02026065010831</v>
      </c>
      <c r="G30" s="211">
        <v>2.08667632051206</v>
      </c>
      <c r="H30" s="211">
        <v>1.99782753766992</v>
      </c>
      <c r="I30" s="19">
        <v>1.98944723853609</v>
      </c>
      <c r="J30" s="211">
        <v>2.02729604717933</v>
      </c>
      <c r="K30" s="211">
        <v>1.98553906246618</v>
      </c>
      <c r="L30" s="211">
        <v>2.06774370123546</v>
      </c>
      <c r="M30" s="211">
        <v>2.04307247343923</v>
      </c>
      <c r="N30" s="211"/>
    </row>
    <row r="31" spans="1:14" ht="12.75">
      <c r="A31">
        <v>10608</v>
      </c>
      <c r="B31" s="1" t="s">
        <v>24</v>
      </c>
      <c r="C31" s="211">
        <v>1.88193223392845</v>
      </c>
      <c r="D31" s="213">
        <v>1.94399889534792</v>
      </c>
      <c r="E31" s="211">
        <v>2.06615501785202</v>
      </c>
      <c r="F31" s="211">
        <v>2.01180301774808</v>
      </c>
      <c r="G31" s="211">
        <v>2.00013900072763</v>
      </c>
      <c r="H31" s="211">
        <v>1.90070352979485</v>
      </c>
      <c r="I31" s="19">
        <v>1.90117277096963</v>
      </c>
      <c r="J31" s="211">
        <v>1.88616780453175</v>
      </c>
      <c r="K31" s="211">
        <v>1.86121095383515</v>
      </c>
      <c r="L31" s="211">
        <v>1.90811899449871</v>
      </c>
      <c r="M31" s="211">
        <v>1.86253523354889</v>
      </c>
      <c r="N31" s="211"/>
    </row>
    <row r="32" spans="1:14" ht="12.75">
      <c r="A32">
        <v>10611</v>
      </c>
      <c r="B32" s="1" t="s">
        <v>233</v>
      </c>
      <c r="C32" s="211">
        <v>0.8962344667751</v>
      </c>
      <c r="D32" s="213">
        <v>0.9157540926137501</v>
      </c>
      <c r="E32" s="211">
        <v>0.89966576451622</v>
      </c>
      <c r="F32" s="211">
        <v>0.8535396240418799</v>
      </c>
      <c r="G32" s="211">
        <v>0.8344506870253</v>
      </c>
      <c r="H32" s="211">
        <v>0.88306521738685</v>
      </c>
      <c r="I32" s="19">
        <v>1.17860272386938</v>
      </c>
      <c r="J32" s="211">
        <v>1.15155517887726</v>
      </c>
      <c r="K32" s="211">
        <v>0.91345683057015</v>
      </c>
      <c r="L32" s="211">
        <v>0.86853540825695</v>
      </c>
      <c r="M32" s="211">
        <v>0.77290001702216</v>
      </c>
      <c r="N32" s="211"/>
    </row>
    <row r="33" spans="1:14" ht="12.75">
      <c r="A33">
        <v>10700</v>
      </c>
      <c r="B33" s="68" t="s">
        <v>180</v>
      </c>
      <c r="C33" s="211"/>
      <c r="D33" s="213"/>
      <c r="E33" s="211"/>
      <c r="F33" s="211"/>
      <c r="G33" s="211"/>
      <c r="H33" s="211"/>
      <c r="I33" s="19"/>
      <c r="J33" s="211"/>
      <c r="K33" s="211"/>
      <c r="L33" s="211"/>
      <c r="M33" s="211"/>
      <c r="N33" s="211"/>
    </row>
    <row r="34" spans="1:14" ht="12.75">
      <c r="A34">
        <v>10701</v>
      </c>
      <c r="B34" s="1" t="s">
        <v>26</v>
      </c>
      <c r="C34" s="211">
        <v>0.54453709918162</v>
      </c>
      <c r="D34" s="213">
        <v>0.51087178797363</v>
      </c>
      <c r="E34" s="211">
        <v>0.47144325702172</v>
      </c>
      <c r="F34" s="211">
        <v>0.44391438966673</v>
      </c>
      <c r="G34" s="211">
        <v>0.43343951443220996</v>
      </c>
      <c r="H34" s="211">
        <v>0.42525527746852</v>
      </c>
      <c r="I34" s="19">
        <v>0.44431497729386</v>
      </c>
      <c r="J34" s="211">
        <v>0.4337301658112</v>
      </c>
      <c r="K34" s="211">
        <v>0.42269924598417</v>
      </c>
      <c r="L34" s="211">
        <v>0.45199335236358</v>
      </c>
      <c r="M34" s="211">
        <v>0.46325142240189</v>
      </c>
      <c r="N34" s="211"/>
    </row>
    <row r="35" spans="1:14" ht="12.75">
      <c r="A35">
        <v>10703</v>
      </c>
      <c r="B35" s="1" t="s">
        <v>27</v>
      </c>
      <c r="C35" s="211">
        <v>0.39205880855617</v>
      </c>
      <c r="D35" s="213">
        <v>0.40261272342358</v>
      </c>
      <c r="E35" s="211">
        <v>0.37879823652605</v>
      </c>
      <c r="F35" s="211">
        <v>0.38106214195760996</v>
      </c>
      <c r="G35" s="211">
        <v>0.37363471538267</v>
      </c>
      <c r="H35" s="211">
        <v>0.35105211784788</v>
      </c>
      <c r="I35" s="19">
        <v>0.34807550896035</v>
      </c>
      <c r="J35" s="211">
        <v>0.35084249626652</v>
      </c>
      <c r="K35" s="211">
        <v>0.34058252598575</v>
      </c>
      <c r="L35" s="211">
        <v>0.34263291446249</v>
      </c>
      <c r="M35" s="211">
        <v>0.35001073207745</v>
      </c>
      <c r="N35" s="211"/>
    </row>
    <row r="36" spans="1:14" ht="12.75">
      <c r="A36">
        <v>10800</v>
      </c>
      <c r="B36" s="68" t="s">
        <v>182</v>
      </c>
      <c r="C36" s="211"/>
      <c r="D36" s="213"/>
      <c r="E36" s="211"/>
      <c r="F36" s="211"/>
      <c r="G36" s="211"/>
      <c r="H36" s="211"/>
      <c r="I36" s="19"/>
      <c r="J36" s="211"/>
      <c r="K36" s="211"/>
      <c r="L36" s="211"/>
      <c r="M36" s="211"/>
      <c r="N36" s="211"/>
    </row>
    <row r="37" spans="1:14" ht="12.75">
      <c r="A37">
        <v>10803</v>
      </c>
      <c r="B37" s="1" t="s">
        <v>29</v>
      </c>
      <c r="C37" s="211">
        <v>0.9609566531225299</v>
      </c>
      <c r="D37" s="213">
        <v>0.96707568193099</v>
      </c>
      <c r="E37" s="211">
        <v>0.97103581857377</v>
      </c>
      <c r="F37" s="211">
        <v>0.94597061735136</v>
      </c>
      <c r="G37" s="211">
        <v>1.00145728440238</v>
      </c>
      <c r="H37" s="211">
        <v>0.99574958366487</v>
      </c>
      <c r="I37" s="19">
        <v>1.0157642788264</v>
      </c>
      <c r="J37" s="211">
        <v>1.00895024829979</v>
      </c>
      <c r="K37" s="211">
        <v>1.01223224502232</v>
      </c>
      <c r="L37" s="211">
        <v>1.00783138169259</v>
      </c>
      <c r="M37" s="211">
        <v>1.03588513809366</v>
      </c>
      <c r="N37" s="211"/>
    </row>
    <row r="38" spans="1:14" ht="12.75">
      <c r="A38">
        <v>10804</v>
      </c>
      <c r="B38" s="74" t="s">
        <v>261</v>
      </c>
      <c r="C38" s="212" t="s">
        <v>360</v>
      </c>
      <c r="D38" s="212" t="s">
        <v>360</v>
      </c>
      <c r="E38" s="212" t="s">
        <v>360</v>
      </c>
      <c r="F38" s="212" t="s">
        <v>360</v>
      </c>
      <c r="G38" s="212" t="s">
        <v>360</v>
      </c>
      <c r="H38" s="212" t="s">
        <v>360</v>
      </c>
      <c r="I38" s="212" t="s">
        <v>360</v>
      </c>
      <c r="J38" s="212" t="s">
        <v>360</v>
      </c>
      <c r="K38" s="212" t="s">
        <v>360</v>
      </c>
      <c r="L38" s="212" t="s">
        <v>360</v>
      </c>
      <c r="M38" s="212" t="s">
        <v>360</v>
      </c>
      <c r="N38" s="212"/>
    </row>
    <row r="39" spans="1:14" ht="12.75">
      <c r="A39">
        <v>10805</v>
      </c>
      <c r="B39" s="1" t="s">
        <v>234</v>
      </c>
      <c r="C39" s="211">
        <v>2.10438046296296</v>
      </c>
      <c r="D39" s="213">
        <v>2.04538620040039</v>
      </c>
      <c r="E39" s="211">
        <v>1.99596524224013</v>
      </c>
      <c r="F39" s="211">
        <v>1.99207740050956</v>
      </c>
      <c r="G39" s="211">
        <v>2.03030918485569</v>
      </c>
      <c r="H39" s="211">
        <v>1.97551787304131</v>
      </c>
      <c r="I39" s="19">
        <v>1.9393462762268</v>
      </c>
      <c r="J39" s="211">
        <v>1.90608829304457</v>
      </c>
      <c r="K39" s="211">
        <v>1.92606796015057</v>
      </c>
      <c r="L39" s="211">
        <v>1.92535482890174</v>
      </c>
      <c r="M39" s="211">
        <v>1.9240737376271397</v>
      </c>
      <c r="N39" s="211"/>
    </row>
    <row r="40" spans="1:14" ht="12.75">
      <c r="A40">
        <v>10900</v>
      </c>
      <c r="B40" s="68" t="s">
        <v>184</v>
      </c>
      <c r="C40" s="211"/>
      <c r="D40" s="213"/>
      <c r="E40" s="211"/>
      <c r="F40" s="211"/>
      <c r="G40" s="211"/>
      <c r="H40" s="211"/>
      <c r="I40" s="19"/>
      <c r="J40" s="211"/>
      <c r="K40" s="211"/>
      <c r="L40" s="211"/>
      <c r="M40" s="211"/>
      <c r="N40" s="211"/>
    </row>
    <row r="41" spans="1:14" ht="12.75">
      <c r="A41">
        <v>10901</v>
      </c>
      <c r="B41" s="1" t="s">
        <v>31</v>
      </c>
      <c r="C41" s="211">
        <v>1.13740358807796</v>
      </c>
      <c r="D41" s="213">
        <v>1.05927124246938</v>
      </c>
      <c r="E41" s="211">
        <v>1.0852560264388</v>
      </c>
      <c r="F41" s="211">
        <v>1.15902339867512</v>
      </c>
      <c r="G41" s="211">
        <v>1.2493652610125</v>
      </c>
      <c r="H41" s="211">
        <v>1.30690723172289</v>
      </c>
      <c r="I41" s="19">
        <v>1.38450888778004</v>
      </c>
      <c r="J41" s="211">
        <v>1.34820013319379</v>
      </c>
      <c r="K41" s="211">
        <v>1.37369834128283</v>
      </c>
      <c r="L41" s="211">
        <v>1.43881241041225</v>
      </c>
      <c r="M41" s="211">
        <v>1.472910121453</v>
      </c>
      <c r="N41" s="211"/>
    </row>
    <row r="42" spans="1:14" ht="12.75">
      <c r="A42">
        <v>10903</v>
      </c>
      <c r="B42" s="1" t="s">
        <v>228</v>
      </c>
      <c r="C42" s="211">
        <v>0.74990342432738</v>
      </c>
      <c r="D42" s="213">
        <v>0.69839502232071</v>
      </c>
      <c r="E42" s="211">
        <v>0.64408485017215</v>
      </c>
      <c r="F42" s="211">
        <v>0.62583367724049</v>
      </c>
      <c r="G42" s="211">
        <v>0.59843334911106</v>
      </c>
      <c r="H42" s="211">
        <v>0.61614544669522</v>
      </c>
      <c r="I42" s="19">
        <v>0.70274209387588</v>
      </c>
      <c r="J42" s="211">
        <v>0.77210378774516</v>
      </c>
      <c r="K42" s="211">
        <v>0.81321579276413</v>
      </c>
      <c r="L42" s="211">
        <v>0.83038739427266</v>
      </c>
      <c r="M42" s="211">
        <v>0.86187714125733</v>
      </c>
      <c r="N42" s="211"/>
    </row>
    <row r="43" spans="1:14" ht="12.75">
      <c r="A43">
        <v>10906</v>
      </c>
      <c r="B43" s="74" t="s">
        <v>269</v>
      </c>
      <c r="C43" s="211">
        <v>0.32974901102846</v>
      </c>
      <c r="D43" s="213">
        <v>0.43625132827125007</v>
      </c>
      <c r="E43" s="211">
        <v>0.50917945553596</v>
      </c>
      <c r="F43" s="211">
        <v>0.4306526307474</v>
      </c>
      <c r="G43" s="211">
        <v>0.3628186979351499</v>
      </c>
      <c r="H43" s="211">
        <v>0.33166967184674</v>
      </c>
      <c r="I43" s="19">
        <v>0.34879512568933</v>
      </c>
      <c r="J43" s="211">
        <v>0.37070022022429</v>
      </c>
      <c r="K43" s="211">
        <v>0.37484916568275</v>
      </c>
      <c r="L43" s="211">
        <v>0.38905810725262</v>
      </c>
      <c r="M43" s="211">
        <v>0.41661867501078</v>
      </c>
      <c r="N43" s="211"/>
    </row>
    <row r="44" spans="1:14" ht="12.75">
      <c r="A44">
        <v>10907</v>
      </c>
      <c r="B44" s="1" t="s">
        <v>33</v>
      </c>
      <c r="C44" s="211">
        <v>1.00791919863385</v>
      </c>
      <c r="D44" s="213">
        <v>0.98150305311061</v>
      </c>
      <c r="E44" s="211">
        <v>1.00676110579831</v>
      </c>
      <c r="F44" s="211">
        <v>1.02369120788247</v>
      </c>
      <c r="G44" s="211">
        <v>1.02539389427523</v>
      </c>
      <c r="H44" s="211">
        <v>0.98851065943754</v>
      </c>
      <c r="I44" s="19">
        <v>0.9850351315216099</v>
      </c>
      <c r="J44" s="211">
        <v>0.97214257775367</v>
      </c>
      <c r="K44" s="211">
        <v>0.98028816035229</v>
      </c>
      <c r="L44" s="211">
        <v>0.9431135170768499</v>
      </c>
      <c r="M44" s="211">
        <v>0.95830792401607</v>
      </c>
      <c r="N44" s="211"/>
    </row>
    <row r="45" spans="1:14" ht="12.75">
      <c r="A45">
        <v>10910</v>
      </c>
      <c r="B45" s="1" t="s">
        <v>34</v>
      </c>
      <c r="C45" s="211">
        <v>0.3239942483274901</v>
      </c>
      <c r="D45" s="213">
        <v>0.33948034616757</v>
      </c>
      <c r="E45" s="211">
        <v>0.32599649064192</v>
      </c>
      <c r="F45" s="211">
        <v>0.31462162980171</v>
      </c>
      <c r="G45" s="211">
        <v>0.29957733381336</v>
      </c>
      <c r="H45" s="211">
        <v>0.31089033152257</v>
      </c>
      <c r="I45" s="19">
        <v>0.30961228624224</v>
      </c>
      <c r="J45" s="211">
        <v>0.30514308818515</v>
      </c>
      <c r="K45" s="211">
        <v>0.32938919957185</v>
      </c>
      <c r="L45" s="211">
        <v>0.33193556459700996</v>
      </c>
      <c r="M45" s="211">
        <v>0.34919672280822</v>
      </c>
      <c r="N45" s="211"/>
    </row>
    <row r="46" spans="1:14" ht="12.75">
      <c r="A46">
        <v>10911</v>
      </c>
      <c r="B46" s="1" t="s">
        <v>229</v>
      </c>
      <c r="C46" s="211">
        <v>0.34774896084716</v>
      </c>
      <c r="D46" s="213">
        <v>0.36111065891976</v>
      </c>
      <c r="E46" s="211">
        <v>0.35942985183862</v>
      </c>
      <c r="F46" s="211">
        <v>0.35466428447296</v>
      </c>
      <c r="G46" s="211">
        <v>0.32388137743415</v>
      </c>
      <c r="H46" s="211">
        <v>0.31047972133705</v>
      </c>
      <c r="I46" s="19">
        <v>0.31624636364961</v>
      </c>
      <c r="J46" s="211">
        <v>0.31731472450063</v>
      </c>
      <c r="K46" s="211">
        <v>0.31623145821648996</v>
      </c>
      <c r="L46" s="211">
        <v>0.32963555704632</v>
      </c>
      <c r="M46" s="211">
        <v>0.32617377091192</v>
      </c>
      <c r="N46" s="211"/>
    </row>
    <row r="47" spans="1:14" ht="12.75">
      <c r="A47">
        <v>11100</v>
      </c>
      <c r="B47" s="68" t="s">
        <v>186</v>
      </c>
      <c r="C47" s="211"/>
      <c r="D47" s="213"/>
      <c r="E47" s="211"/>
      <c r="F47" s="211"/>
      <c r="G47" s="211"/>
      <c r="H47" s="211"/>
      <c r="I47" s="19"/>
      <c r="J47" s="211"/>
      <c r="K47" s="211"/>
      <c r="L47" s="211"/>
      <c r="M47" s="211"/>
      <c r="N47" s="211"/>
    </row>
    <row r="48" spans="1:14" ht="12.75">
      <c r="A48">
        <v>11102</v>
      </c>
      <c r="B48" s="1" t="s">
        <v>230</v>
      </c>
      <c r="C48" s="211">
        <v>0.6776004623838001</v>
      </c>
      <c r="D48" s="213">
        <v>0.67412785956494</v>
      </c>
      <c r="E48" s="211">
        <v>0.6730803735530201</v>
      </c>
      <c r="F48" s="211">
        <v>0.66605630153721</v>
      </c>
      <c r="G48" s="211">
        <v>0.66660959815856</v>
      </c>
      <c r="H48" s="211">
        <v>0.6666737889116</v>
      </c>
      <c r="I48" s="19">
        <v>0.66521973650846</v>
      </c>
      <c r="J48" s="211">
        <v>0.6655958934639898</v>
      </c>
      <c r="K48" s="211">
        <v>0.66601558422253</v>
      </c>
      <c r="L48" s="211">
        <v>0.67075980592628</v>
      </c>
      <c r="M48" s="211">
        <v>0.68156950321448</v>
      </c>
      <c r="N48" s="211"/>
    </row>
    <row r="49" spans="1:14" ht="12.75">
      <c r="A49">
        <v>11106</v>
      </c>
      <c r="B49" s="1" t="s">
        <v>35</v>
      </c>
      <c r="C49" s="211">
        <v>0.57968870320806</v>
      </c>
      <c r="D49" s="213">
        <v>0.58354220800508</v>
      </c>
      <c r="E49" s="211">
        <v>0.57413196871558</v>
      </c>
      <c r="F49" s="211">
        <v>0.5728395338126</v>
      </c>
      <c r="G49" s="211">
        <v>0.57276970917548</v>
      </c>
      <c r="H49" s="211">
        <v>0.5730725570778</v>
      </c>
      <c r="I49" s="19">
        <v>0.5730725570778</v>
      </c>
      <c r="J49" s="211">
        <v>0.57294808569652</v>
      </c>
      <c r="K49" s="211">
        <v>0.57313732366232</v>
      </c>
      <c r="L49" s="211">
        <v>0.57243349530772</v>
      </c>
      <c r="M49" s="211">
        <v>0.5665578822695</v>
      </c>
      <c r="N49" s="211"/>
    </row>
    <row r="50" spans="1:14" ht="12.75">
      <c r="A50">
        <v>11200</v>
      </c>
      <c r="B50" s="68" t="s">
        <v>225</v>
      </c>
      <c r="C50" s="211"/>
      <c r="D50" s="213"/>
      <c r="E50" s="211"/>
      <c r="F50" s="211"/>
      <c r="G50" s="211"/>
      <c r="H50" s="211"/>
      <c r="I50" s="19"/>
      <c r="J50" s="211"/>
      <c r="K50" s="211"/>
      <c r="L50" s="211"/>
      <c r="M50" s="211"/>
      <c r="N50" s="211"/>
    </row>
    <row r="51" spans="1:14" ht="12.75">
      <c r="A51">
        <v>11202</v>
      </c>
      <c r="B51" s="1" t="s">
        <v>231</v>
      </c>
      <c r="C51" s="212" t="s">
        <v>361</v>
      </c>
      <c r="D51" s="212" t="s">
        <v>361</v>
      </c>
      <c r="E51" s="212" t="s">
        <v>361</v>
      </c>
      <c r="F51" s="212" t="s">
        <v>361</v>
      </c>
      <c r="G51" s="212" t="s">
        <v>361</v>
      </c>
      <c r="H51" s="212" t="s">
        <v>361</v>
      </c>
      <c r="I51" s="212" t="s">
        <v>361</v>
      </c>
      <c r="J51" s="212" t="s">
        <v>361</v>
      </c>
      <c r="K51" s="212" t="s">
        <v>361</v>
      </c>
      <c r="L51" s="212" t="s">
        <v>361</v>
      </c>
      <c r="M51" s="212" t="s">
        <v>361</v>
      </c>
      <c r="N51" s="212"/>
    </row>
    <row r="52" spans="1:14" ht="12.75">
      <c r="A52">
        <v>11206</v>
      </c>
      <c r="B52" s="1" t="s">
        <v>37</v>
      </c>
      <c r="C52" s="211">
        <v>0.4083845615889</v>
      </c>
      <c r="D52" s="213">
        <v>0.40924339923805</v>
      </c>
      <c r="E52" s="211">
        <v>0.40924339923805</v>
      </c>
      <c r="F52" s="211">
        <v>0.41009214746981</v>
      </c>
      <c r="G52" s="211">
        <v>0.42303379951411</v>
      </c>
      <c r="H52" s="211">
        <v>0.4227499846383</v>
      </c>
      <c r="I52" s="19">
        <v>0.4238477595632</v>
      </c>
      <c r="J52" s="211">
        <v>0.42356541539017</v>
      </c>
      <c r="K52" s="211">
        <v>0.42606829306765</v>
      </c>
      <c r="L52" s="211">
        <v>0.42663740118024</v>
      </c>
      <c r="M52" s="211">
        <v>0.43217475659762006</v>
      </c>
      <c r="N52" s="211"/>
    </row>
    <row r="53" spans="1:14" ht="12.75">
      <c r="A53">
        <v>11400</v>
      </c>
      <c r="B53" s="68" t="s">
        <v>253</v>
      </c>
      <c r="C53" s="211"/>
      <c r="D53" s="213"/>
      <c r="E53" s="211"/>
      <c r="F53" s="211"/>
      <c r="G53" s="211"/>
      <c r="H53" s="211"/>
      <c r="I53" s="19"/>
      <c r="J53" s="211"/>
      <c r="K53" s="211"/>
      <c r="L53" s="211"/>
      <c r="M53" s="211"/>
      <c r="N53" s="211"/>
    </row>
    <row r="54" spans="1:14" ht="12.75">
      <c r="A54">
        <v>11401</v>
      </c>
      <c r="B54" s="1" t="s">
        <v>39</v>
      </c>
      <c r="C54" s="211">
        <v>0.4524107128537161</v>
      </c>
      <c r="D54" s="213">
        <v>0.47495802565013573</v>
      </c>
      <c r="E54" s="211">
        <v>0.509129222746915</v>
      </c>
      <c r="F54" s="211">
        <v>0.5213406231038099</v>
      </c>
      <c r="G54" s="211">
        <v>0.5265207657606845</v>
      </c>
      <c r="H54" s="211">
        <v>0.5344473829480135</v>
      </c>
      <c r="I54" s="19">
        <v>0.5427394350094646</v>
      </c>
      <c r="J54" s="211">
        <v>0.5567099027459244</v>
      </c>
      <c r="K54" s="211">
        <v>0.5515746747304547</v>
      </c>
      <c r="L54" s="211">
        <v>0.5577809205288364</v>
      </c>
      <c r="M54" s="211">
        <v>0.5609555905785555</v>
      </c>
      <c r="N54" s="211"/>
    </row>
    <row r="55" spans="1:14" ht="12.75">
      <c r="A55">
        <v>11800</v>
      </c>
      <c r="B55" s="68" t="s">
        <v>254</v>
      </c>
      <c r="C55" s="211"/>
      <c r="D55" s="213"/>
      <c r="E55" s="211"/>
      <c r="F55" s="211"/>
      <c r="G55" s="211"/>
      <c r="H55" s="211"/>
      <c r="I55" s="19"/>
      <c r="J55" s="211"/>
      <c r="K55" s="211"/>
      <c r="L55" s="211"/>
      <c r="M55" s="211"/>
      <c r="N55" s="211"/>
    </row>
    <row r="56" spans="1:14" ht="12.75">
      <c r="A56">
        <v>11801</v>
      </c>
      <c r="B56" s="1" t="s">
        <v>235</v>
      </c>
      <c r="C56" s="212" t="s">
        <v>362</v>
      </c>
      <c r="D56" s="212" t="s">
        <v>362</v>
      </c>
      <c r="E56" s="212" t="s">
        <v>362</v>
      </c>
      <c r="F56" s="212" t="s">
        <v>362</v>
      </c>
      <c r="G56" s="212" t="s">
        <v>362</v>
      </c>
      <c r="H56" s="212" t="s">
        <v>362</v>
      </c>
      <c r="I56" s="212" t="s">
        <v>362</v>
      </c>
      <c r="J56" s="212" t="s">
        <v>362</v>
      </c>
      <c r="K56" s="212" t="s">
        <v>362</v>
      </c>
      <c r="L56" s="212" t="s">
        <v>362</v>
      </c>
      <c r="M56" s="212" t="s">
        <v>362</v>
      </c>
      <c r="N56" s="212"/>
    </row>
    <row r="57" spans="1:14" ht="12.75">
      <c r="A57">
        <v>11804</v>
      </c>
      <c r="B57" s="1" t="s">
        <v>41</v>
      </c>
      <c r="C57" s="211">
        <v>1.50134129758255</v>
      </c>
      <c r="D57" s="213">
        <v>1.49988749096977</v>
      </c>
      <c r="E57" s="211">
        <v>1.48534074018794</v>
      </c>
      <c r="F57" s="211">
        <v>1.49168294574856</v>
      </c>
      <c r="G57" s="211">
        <v>1.50136035031185</v>
      </c>
      <c r="H57" s="211">
        <v>1.50457404727123</v>
      </c>
      <c r="I57" s="19">
        <v>1.50457404727123</v>
      </c>
      <c r="J57" s="211">
        <v>1.50457404727123</v>
      </c>
      <c r="K57" s="211">
        <v>1.49645763915088</v>
      </c>
      <c r="L57" s="211">
        <v>1.5007614100588</v>
      </c>
      <c r="M57" s="211">
        <v>1.50439801547282</v>
      </c>
      <c r="N57" s="211"/>
    </row>
    <row r="58" spans="1:14" ht="12.75">
      <c r="A58">
        <v>20000</v>
      </c>
      <c r="B58" s="68" t="s">
        <v>42</v>
      </c>
      <c r="C58" s="211"/>
      <c r="D58" s="213"/>
      <c r="E58" s="211"/>
      <c r="F58" s="211"/>
      <c r="G58" s="211"/>
      <c r="H58" s="211"/>
      <c r="I58" s="19"/>
      <c r="J58" s="211"/>
      <c r="K58" s="211"/>
      <c r="L58" s="211"/>
      <c r="M58" s="211"/>
      <c r="N58" s="211"/>
    </row>
    <row r="59" spans="1:14" ht="12.75">
      <c r="A59">
        <v>20100</v>
      </c>
      <c r="B59" s="1" t="s">
        <v>43</v>
      </c>
      <c r="C59" s="211">
        <v>103.62238434038495</v>
      </c>
      <c r="D59" s="213">
        <v>104.32775383963084</v>
      </c>
      <c r="E59" s="211">
        <v>104.90668178280366</v>
      </c>
      <c r="F59" s="211">
        <v>105.4761973997996</v>
      </c>
      <c r="G59" s="211">
        <v>105.97742559349288</v>
      </c>
      <c r="H59" s="211">
        <v>106.5842987180688</v>
      </c>
      <c r="I59" s="19">
        <v>107.29708262278052</v>
      </c>
      <c r="J59" s="211">
        <v>108.01075978255282</v>
      </c>
      <c r="K59" s="211">
        <v>108.5546326703507</v>
      </c>
      <c r="L59" s="211">
        <v>108.95827910301392</v>
      </c>
      <c r="M59" s="211">
        <v>109.46480762330278</v>
      </c>
      <c r="N59" s="211"/>
    </row>
    <row r="60" spans="1:14" ht="12.75">
      <c r="A60">
        <v>20200</v>
      </c>
      <c r="B60" s="68" t="s">
        <v>196</v>
      </c>
      <c r="C60" s="211"/>
      <c r="D60" s="213"/>
      <c r="E60" s="211"/>
      <c r="F60" s="211"/>
      <c r="G60" s="211"/>
      <c r="H60" s="211"/>
      <c r="I60" s="19"/>
      <c r="J60" s="211"/>
      <c r="K60" s="211"/>
      <c r="L60" s="211"/>
      <c r="M60" s="211"/>
      <c r="N60" s="211"/>
    </row>
    <row r="61" spans="1:14" ht="12.75">
      <c r="A61">
        <v>20205</v>
      </c>
      <c r="B61" s="1" t="s">
        <v>259</v>
      </c>
      <c r="C61" s="211">
        <v>22.30595740652405</v>
      </c>
      <c r="D61" s="213">
        <v>22.29032066549089</v>
      </c>
      <c r="E61" s="211">
        <v>22.29315721090631</v>
      </c>
      <c r="F61" s="211">
        <v>22.32966975741687</v>
      </c>
      <c r="G61" s="211">
        <v>22.29628421735517</v>
      </c>
      <c r="H61" s="211">
        <v>22.30200034982137</v>
      </c>
      <c r="I61" s="19">
        <v>22.30721927134597</v>
      </c>
      <c r="J61" s="211">
        <v>22.30721927134597</v>
      </c>
      <c r="K61" s="211">
        <v>22.30721927134597</v>
      </c>
      <c r="L61" s="211">
        <v>22.30551734409672</v>
      </c>
      <c r="M61" s="211">
        <v>22.20490610354813</v>
      </c>
      <c r="N61" s="211"/>
    </row>
    <row r="62" spans="1:14" ht="12.75">
      <c r="A62">
        <v>20206</v>
      </c>
      <c r="B62" s="1" t="s">
        <v>45</v>
      </c>
      <c r="C62" s="211">
        <v>1.7006503702157103</v>
      </c>
      <c r="D62" s="213">
        <v>1.7006503702157103</v>
      </c>
      <c r="E62" s="211">
        <v>1.70289879120185</v>
      </c>
      <c r="F62" s="211">
        <v>1.70289879120185</v>
      </c>
      <c r="G62" s="211">
        <v>1.69861962896556</v>
      </c>
      <c r="H62" s="211">
        <v>1.69861962896556</v>
      </c>
      <c r="I62" s="19">
        <v>1.69903675914211</v>
      </c>
      <c r="J62" s="211">
        <v>1.69861962896556</v>
      </c>
      <c r="K62" s="211">
        <v>1.69861962896556</v>
      </c>
      <c r="L62" s="211">
        <v>1.69861962896556</v>
      </c>
      <c r="M62" s="211">
        <v>1.71469226170592</v>
      </c>
      <c r="N62" s="211"/>
    </row>
    <row r="63" spans="1:14" ht="12.75">
      <c r="A63">
        <v>20300</v>
      </c>
      <c r="B63" s="68" t="s">
        <v>198</v>
      </c>
      <c r="C63" s="211"/>
      <c r="D63" s="213"/>
      <c r="E63" s="211"/>
      <c r="F63" s="211"/>
      <c r="G63" s="211"/>
      <c r="H63" s="211"/>
      <c r="I63" s="19"/>
      <c r="J63" s="211"/>
      <c r="K63" s="211"/>
      <c r="L63" s="211"/>
      <c r="M63" s="211"/>
      <c r="N63" s="211"/>
    </row>
    <row r="64" spans="1:14" ht="12.75">
      <c r="A64">
        <v>20301</v>
      </c>
      <c r="B64" s="1" t="s">
        <v>47</v>
      </c>
      <c r="C64" s="211">
        <v>14.456687538723703</v>
      </c>
      <c r="D64" s="213">
        <v>14.47823294624521</v>
      </c>
      <c r="E64" s="211">
        <v>14.47823294624521</v>
      </c>
      <c r="F64" s="211">
        <v>14.54825552069013</v>
      </c>
      <c r="G64" s="211">
        <v>14.56749851398438</v>
      </c>
      <c r="H64" s="211">
        <v>14.56749851398438</v>
      </c>
      <c r="I64" s="19">
        <v>14.56749851398438</v>
      </c>
      <c r="J64" s="211">
        <v>14.56749851398438</v>
      </c>
      <c r="K64" s="211">
        <v>14.56749851398438</v>
      </c>
      <c r="L64" s="211">
        <v>14.57288486586476</v>
      </c>
      <c r="M64" s="211">
        <v>14.57288486586476</v>
      </c>
      <c r="N64" s="211"/>
    </row>
    <row r="65" spans="1:14" ht="12.75">
      <c r="A65">
        <v>20303</v>
      </c>
      <c r="B65" s="1" t="s">
        <v>48</v>
      </c>
      <c r="C65" s="211">
        <v>0.491111989320434</v>
      </c>
      <c r="D65" s="213">
        <v>0.48897545541009</v>
      </c>
      <c r="E65" s="211">
        <v>0.48409293827184197</v>
      </c>
      <c r="F65" s="211">
        <v>0.480828567701002</v>
      </c>
      <c r="G65" s="211">
        <v>0.48247942875260197</v>
      </c>
      <c r="H65" s="211">
        <v>0.48630998223105204</v>
      </c>
      <c r="I65" s="19">
        <v>0.485888617400622</v>
      </c>
      <c r="J65" s="211">
        <v>0.487283538743838</v>
      </c>
      <c r="K65" s="211">
        <v>0.48968514653017803</v>
      </c>
      <c r="L65" s="211">
        <v>0.482758547623462</v>
      </c>
      <c r="M65" s="211">
        <v>0.47647018029592403</v>
      </c>
      <c r="N65" s="211"/>
    </row>
    <row r="66" spans="1:14" ht="12.75">
      <c r="A66">
        <v>20304</v>
      </c>
      <c r="B66" s="1" t="s">
        <v>236</v>
      </c>
      <c r="C66" s="211">
        <v>0.2844458325803</v>
      </c>
      <c r="D66" s="213">
        <v>0.26763895963939</v>
      </c>
      <c r="E66" s="211">
        <v>0.26686170076109</v>
      </c>
      <c r="F66" s="211">
        <v>0.26654438274152</v>
      </c>
      <c r="G66" s="211">
        <v>0.26687681039548</v>
      </c>
      <c r="H66" s="211">
        <v>0.26838027822282</v>
      </c>
      <c r="I66" s="19">
        <v>0.26947770391698</v>
      </c>
      <c r="J66" s="211">
        <v>0.27089805914339</v>
      </c>
      <c r="K66" s="211">
        <v>0.27052505956522</v>
      </c>
      <c r="L66" s="211">
        <v>0.27634239193987</v>
      </c>
      <c r="M66" s="211">
        <v>0.28440585299888</v>
      </c>
      <c r="N66" s="211"/>
    </row>
    <row r="67" spans="1:14" ht="12.75">
      <c r="A67">
        <v>20305</v>
      </c>
      <c r="B67" s="1" t="s">
        <v>237</v>
      </c>
      <c r="C67" s="211">
        <v>0.25291150766827</v>
      </c>
      <c r="D67" s="213">
        <v>0.26063078975351</v>
      </c>
      <c r="E67" s="211">
        <v>0.25762082124553</v>
      </c>
      <c r="F67" s="211">
        <v>0.2567377218111</v>
      </c>
      <c r="G67" s="211">
        <v>0.2598533101527</v>
      </c>
      <c r="H67" s="211">
        <v>0.27719008439704</v>
      </c>
      <c r="I67" s="19">
        <v>0.27706624462213</v>
      </c>
      <c r="J67" s="211">
        <v>0.27748507211966</v>
      </c>
      <c r="K67" s="211">
        <v>0.28032719016345</v>
      </c>
      <c r="L67" s="211">
        <v>0.28480772213359</v>
      </c>
      <c r="M67" s="211">
        <v>0.28501501909498</v>
      </c>
      <c r="N67" s="211"/>
    </row>
    <row r="68" spans="1:14" ht="12.75">
      <c r="A68">
        <v>20700</v>
      </c>
      <c r="B68" s="68" t="s">
        <v>200</v>
      </c>
      <c r="C68" s="211"/>
      <c r="D68" s="213"/>
      <c r="E68" s="211"/>
      <c r="F68" s="211"/>
      <c r="G68" s="211"/>
      <c r="H68" s="211"/>
      <c r="I68" s="19"/>
      <c r="J68" s="211"/>
      <c r="K68" s="211"/>
      <c r="L68" s="211"/>
      <c r="M68" s="211"/>
      <c r="N68" s="211"/>
    </row>
    <row r="69" spans="1:14" ht="12.75">
      <c r="A69">
        <v>20701</v>
      </c>
      <c r="B69" s="1" t="s">
        <v>50</v>
      </c>
      <c r="C69" s="211">
        <v>1.8167707888586901</v>
      </c>
      <c r="D69" s="213">
        <v>1.85716401874726</v>
      </c>
      <c r="E69" s="211">
        <v>1.89952626345145</v>
      </c>
      <c r="F69" s="211">
        <v>1.90604052528259</v>
      </c>
      <c r="G69" s="211">
        <v>1.84981365005233</v>
      </c>
      <c r="H69" s="211">
        <v>1.84942453132761</v>
      </c>
      <c r="I69" s="19">
        <v>1.8817195648061797</v>
      </c>
      <c r="J69" s="211">
        <v>1.90529842781809</v>
      </c>
      <c r="K69" s="211">
        <v>1.96387741037405</v>
      </c>
      <c r="L69" s="211">
        <v>1.90004055636918</v>
      </c>
      <c r="M69" s="211">
        <v>1.92012105881339</v>
      </c>
      <c r="N69" s="211"/>
    </row>
    <row r="70" spans="1:14" ht="12.75">
      <c r="A70">
        <v>20702</v>
      </c>
      <c r="B70" s="1" t="s">
        <v>51</v>
      </c>
      <c r="C70" s="211">
        <v>0.32722286810993</v>
      </c>
      <c r="D70" s="213">
        <v>0.32546819793075</v>
      </c>
      <c r="E70" s="211">
        <v>0.32668978949785</v>
      </c>
      <c r="F70" s="211">
        <v>0.32812751405726</v>
      </c>
      <c r="G70" s="211">
        <v>0.32995574897944</v>
      </c>
      <c r="H70" s="211">
        <v>0.32752535419743</v>
      </c>
      <c r="I70" s="19">
        <v>0.32463939679418</v>
      </c>
      <c r="J70" s="211">
        <v>0.32799237372766</v>
      </c>
      <c r="K70" s="211">
        <v>0.32845780499444</v>
      </c>
      <c r="L70" s="211">
        <v>0.33105674555069</v>
      </c>
      <c r="M70" s="211">
        <v>0.3250817620637</v>
      </c>
      <c r="N70" s="211"/>
    </row>
    <row r="71" spans="1:14" ht="12.75">
      <c r="A71">
        <v>30000</v>
      </c>
      <c r="B71" s="68" t="s">
        <v>52</v>
      </c>
      <c r="C71" s="211"/>
      <c r="D71" s="213"/>
      <c r="E71" s="211"/>
      <c r="F71" s="211"/>
      <c r="G71" s="211"/>
      <c r="H71" s="211"/>
      <c r="I71" s="19"/>
      <c r="J71" s="211"/>
      <c r="K71" s="211"/>
      <c r="L71" s="211"/>
      <c r="M71" s="211"/>
      <c r="N71" s="211"/>
    </row>
    <row r="72" spans="1:14" ht="12.75">
      <c r="A72">
        <v>30100</v>
      </c>
      <c r="B72" s="68" t="s">
        <v>255</v>
      </c>
      <c r="C72" s="211"/>
      <c r="D72" s="213"/>
      <c r="E72" s="211"/>
      <c r="F72" s="211"/>
      <c r="G72" s="211"/>
      <c r="H72" s="211"/>
      <c r="I72" s="19"/>
      <c r="J72" s="211"/>
      <c r="K72" s="211"/>
      <c r="L72" s="211"/>
      <c r="M72" s="211"/>
      <c r="N72" s="211"/>
    </row>
    <row r="73" spans="1:14" ht="12.75">
      <c r="A73">
        <v>30101</v>
      </c>
      <c r="B73" s="75" t="s">
        <v>268</v>
      </c>
      <c r="C73" s="211">
        <v>7.69879237604974</v>
      </c>
      <c r="D73" s="213">
        <v>7.68235086386058</v>
      </c>
      <c r="E73" s="211">
        <v>7.63648455136567</v>
      </c>
      <c r="F73" s="211">
        <v>7.67868853843593</v>
      </c>
      <c r="G73" s="211">
        <v>7.69483560857453</v>
      </c>
      <c r="H73" s="211">
        <v>7.87863143065634</v>
      </c>
      <c r="I73" s="19">
        <v>7.86112809797527</v>
      </c>
      <c r="J73" s="211">
        <v>7.86065176841283</v>
      </c>
      <c r="K73" s="211">
        <v>7.92972487018617</v>
      </c>
      <c r="L73" s="211">
        <v>7.9019769371382</v>
      </c>
      <c r="M73" s="211">
        <v>8.32258413298682</v>
      </c>
      <c r="N73" s="211"/>
    </row>
    <row r="74" spans="1:14" ht="12.75">
      <c r="A74" s="168">
        <v>30102</v>
      </c>
      <c r="B74" s="169" t="s">
        <v>238</v>
      </c>
      <c r="C74" s="212" t="s">
        <v>363</v>
      </c>
      <c r="D74" s="212" t="s">
        <v>363</v>
      </c>
      <c r="E74" s="212" t="s">
        <v>363</v>
      </c>
      <c r="F74" s="212" t="s">
        <v>363</v>
      </c>
      <c r="G74" s="212" t="s">
        <v>363</v>
      </c>
      <c r="H74" s="212" t="s">
        <v>363</v>
      </c>
      <c r="I74" s="212" t="s">
        <v>363</v>
      </c>
      <c r="J74" s="212" t="s">
        <v>363</v>
      </c>
      <c r="K74" s="212" t="s">
        <v>363</v>
      </c>
      <c r="L74" s="212" t="s">
        <v>363</v>
      </c>
      <c r="M74" s="212" t="s">
        <v>363</v>
      </c>
      <c r="N74" s="212"/>
    </row>
    <row r="75" spans="1:14" ht="12.75">
      <c r="A75">
        <v>30200</v>
      </c>
      <c r="B75" s="68" t="s">
        <v>256</v>
      </c>
      <c r="C75" s="211"/>
      <c r="D75" s="213"/>
      <c r="E75" s="211"/>
      <c r="F75" s="211"/>
      <c r="G75" s="211"/>
      <c r="H75" s="211"/>
      <c r="I75" s="19"/>
      <c r="J75" s="211"/>
      <c r="K75" s="211"/>
      <c r="L75" s="211"/>
      <c r="M75" s="211"/>
      <c r="N75" s="211"/>
    </row>
    <row r="76" spans="1:14" ht="12.75">
      <c r="A76">
        <v>30201</v>
      </c>
      <c r="B76" s="1" t="s">
        <v>55</v>
      </c>
      <c r="C76" s="211">
        <v>20.38531665615548</v>
      </c>
      <c r="D76" s="213">
        <v>20.25786201893085</v>
      </c>
      <c r="E76" s="211">
        <v>20.29824923669073</v>
      </c>
      <c r="F76" s="211">
        <v>20.32537836406234</v>
      </c>
      <c r="G76" s="211">
        <v>20.55879028196213</v>
      </c>
      <c r="H76" s="211">
        <v>20.54361973116438</v>
      </c>
      <c r="I76" s="19">
        <v>20.45433047161891</v>
      </c>
      <c r="J76" s="211">
        <v>20.19163298977476</v>
      </c>
      <c r="K76" s="211">
        <v>20.29002558575415</v>
      </c>
      <c r="L76" s="211">
        <v>20.21309406080574</v>
      </c>
      <c r="M76" s="211">
        <v>20.10038362357833</v>
      </c>
      <c r="N76" s="211"/>
    </row>
    <row r="77" spans="1:14" ht="12.75">
      <c r="A77">
        <v>30203</v>
      </c>
      <c r="B77" s="1" t="s">
        <v>56</v>
      </c>
      <c r="C77" s="211">
        <v>2.09288314851925</v>
      </c>
      <c r="D77" s="213">
        <v>2.08863640006598</v>
      </c>
      <c r="E77" s="211">
        <v>2.0081445152016</v>
      </c>
      <c r="F77" s="211">
        <v>1.98233485097264</v>
      </c>
      <c r="G77" s="211">
        <v>2.01003274205045</v>
      </c>
      <c r="H77" s="211">
        <v>2.02987203502711</v>
      </c>
      <c r="I77" s="19">
        <v>2.03861837243959</v>
      </c>
      <c r="J77" s="211">
        <v>1.98329408816905</v>
      </c>
      <c r="K77" s="211">
        <v>2.0024588543665</v>
      </c>
      <c r="L77" s="211">
        <v>1.96449839204617</v>
      </c>
      <c r="M77" s="211">
        <v>1.98156234569806</v>
      </c>
      <c r="N77" s="211"/>
    </row>
    <row r="78" spans="1:14" ht="12.75">
      <c r="A78">
        <v>30205</v>
      </c>
      <c r="B78" s="1" t="s">
        <v>239</v>
      </c>
      <c r="C78" s="211">
        <v>20.65680158649125</v>
      </c>
      <c r="D78" s="213">
        <v>20.70573456734567</v>
      </c>
      <c r="E78" s="211">
        <v>20.67542636010118</v>
      </c>
      <c r="F78" s="211">
        <v>20.50495025904894</v>
      </c>
      <c r="G78" s="211">
        <v>20.93557397666177</v>
      </c>
      <c r="H78" s="211">
        <v>20.78627048648579</v>
      </c>
      <c r="I78" s="19">
        <v>20.39231770556154</v>
      </c>
      <c r="J78" s="211">
        <v>20.25901434932071</v>
      </c>
      <c r="K78" s="211">
        <v>20.58335991151953</v>
      </c>
      <c r="L78" s="211">
        <v>20.63747798616175</v>
      </c>
      <c r="M78" s="211">
        <v>20.35915237707195</v>
      </c>
      <c r="N78" s="211"/>
    </row>
    <row r="79" spans="1:14" ht="12.75">
      <c r="A79">
        <v>30207</v>
      </c>
      <c r="B79" s="1" t="s">
        <v>57</v>
      </c>
      <c r="C79" s="211">
        <v>32.08735469466735</v>
      </c>
      <c r="D79" s="213">
        <v>31.98154463635178</v>
      </c>
      <c r="E79" s="211">
        <v>31.68292924637202</v>
      </c>
      <c r="F79" s="211">
        <v>31.80626029395476</v>
      </c>
      <c r="G79" s="211">
        <v>32.23338849726362</v>
      </c>
      <c r="H79" s="211">
        <v>30.92156765927827</v>
      </c>
      <c r="I79" s="19">
        <v>30.55200764278398</v>
      </c>
      <c r="J79" s="211">
        <v>30.86378158112721</v>
      </c>
      <c r="K79" s="211">
        <v>30.8221152371729</v>
      </c>
      <c r="L79" s="211">
        <v>31.11181210382122</v>
      </c>
      <c r="M79" s="211">
        <v>31.31479342672002</v>
      </c>
      <c r="N79" s="211"/>
    </row>
    <row r="80" spans="1:14" ht="12.75">
      <c r="A80">
        <v>30300</v>
      </c>
      <c r="B80" s="68" t="s">
        <v>257</v>
      </c>
      <c r="C80" s="211"/>
      <c r="D80" s="213"/>
      <c r="E80" s="211"/>
      <c r="F80" s="211"/>
      <c r="G80" s="211"/>
      <c r="H80" s="211"/>
      <c r="I80" s="19"/>
      <c r="J80" s="211"/>
      <c r="K80" s="211"/>
      <c r="L80" s="211"/>
      <c r="M80" s="211"/>
      <c r="N80" s="211"/>
    </row>
    <row r="81" spans="1:14" ht="12.75">
      <c r="A81">
        <v>30302</v>
      </c>
      <c r="B81" s="1" t="s">
        <v>59</v>
      </c>
      <c r="C81" s="211">
        <v>17.54691269869815</v>
      </c>
      <c r="D81" s="213">
        <v>17.4381215161206</v>
      </c>
      <c r="E81" s="211">
        <v>17.39258669260768</v>
      </c>
      <c r="F81" s="211">
        <v>17.12033942073108</v>
      </c>
      <c r="G81" s="211">
        <v>16.3582977694813</v>
      </c>
      <c r="H81" s="211">
        <v>16.10094237735499</v>
      </c>
      <c r="I81" s="19">
        <v>15.88033275003695</v>
      </c>
      <c r="J81" s="211">
        <v>15.92365418181009</v>
      </c>
      <c r="K81" s="211">
        <v>16.56723342786189</v>
      </c>
      <c r="L81" s="211">
        <v>16.54917828129844</v>
      </c>
      <c r="M81" s="211">
        <v>16.63876000476019</v>
      </c>
      <c r="N81" s="211"/>
    </row>
    <row r="82" spans="1:14" ht="12.75">
      <c r="A82">
        <v>30303</v>
      </c>
      <c r="B82" s="1" t="s">
        <v>60</v>
      </c>
      <c r="C82" s="211">
        <v>2.54799273040858</v>
      </c>
      <c r="D82" s="213">
        <v>2.6322756711401305</v>
      </c>
      <c r="E82" s="211">
        <v>2.6322756711401305</v>
      </c>
      <c r="F82" s="211">
        <v>2.59388015134606</v>
      </c>
      <c r="G82" s="211">
        <v>2.58971152568504</v>
      </c>
      <c r="H82" s="211">
        <v>2.62465977346468</v>
      </c>
      <c r="I82" s="19">
        <v>2.6181654692093796</v>
      </c>
      <c r="J82" s="211">
        <v>2.63935691727372</v>
      </c>
      <c r="K82" s="211">
        <v>2.66125687087882</v>
      </c>
      <c r="L82" s="211">
        <v>2.6687548165132</v>
      </c>
      <c r="M82" s="211">
        <v>2.66907795271414</v>
      </c>
      <c r="N82" s="211"/>
    </row>
    <row r="83" spans="1:14" ht="12.75">
      <c r="A83">
        <v>30304</v>
      </c>
      <c r="B83" s="74" t="s">
        <v>61</v>
      </c>
      <c r="C83" s="211">
        <v>17.45494044540842</v>
      </c>
      <c r="D83" s="213">
        <v>17.57013452743785</v>
      </c>
      <c r="E83" s="211">
        <v>17.57013452743785</v>
      </c>
      <c r="F83" s="211">
        <v>18.87844484513445</v>
      </c>
      <c r="G83" s="211">
        <v>18.97788417299848</v>
      </c>
      <c r="H83" s="211">
        <v>18.30249173914764</v>
      </c>
      <c r="I83" s="19">
        <v>18.4196618486555</v>
      </c>
      <c r="J83" s="211">
        <v>17.7584004939726</v>
      </c>
      <c r="K83" s="211">
        <v>18.16003175403349</v>
      </c>
      <c r="L83" s="211">
        <v>18.22382082558092</v>
      </c>
      <c r="M83" s="211">
        <v>18.18979372976154</v>
      </c>
      <c r="N83" s="211"/>
    </row>
    <row r="84" spans="1:14" ht="12.75">
      <c r="A84">
        <v>30305</v>
      </c>
      <c r="B84" s="1" t="s">
        <v>62</v>
      </c>
      <c r="C84" s="211">
        <v>0.70222135987739</v>
      </c>
      <c r="D84" s="213">
        <v>0.7063716189699001</v>
      </c>
      <c r="E84" s="211">
        <v>0.7063716189699001</v>
      </c>
      <c r="F84" s="211">
        <v>0.70614822838193</v>
      </c>
      <c r="G84" s="211">
        <v>0.71799475491733</v>
      </c>
      <c r="H84" s="211">
        <v>0.71853281596047</v>
      </c>
      <c r="I84" s="19">
        <v>0.72205093466433</v>
      </c>
      <c r="J84" s="211">
        <v>0.71165211149112</v>
      </c>
      <c r="K84" s="211">
        <v>0.72708154798909</v>
      </c>
      <c r="L84" s="211">
        <v>0.73103883822215</v>
      </c>
      <c r="M84" s="211">
        <v>0.7264819978089501</v>
      </c>
      <c r="N84" s="211"/>
    </row>
    <row r="85" spans="1:14" ht="12.75">
      <c r="A85">
        <v>30306</v>
      </c>
      <c r="B85" s="1" t="s">
        <v>240</v>
      </c>
      <c r="C85" s="211">
        <v>21.56295201434852</v>
      </c>
      <c r="D85" s="213">
        <v>21.64792957039029</v>
      </c>
      <c r="E85" s="211">
        <v>21.57747841186754</v>
      </c>
      <c r="F85" s="211">
        <v>21.32372695993309</v>
      </c>
      <c r="G85" s="211">
        <v>21.43717784168074</v>
      </c>
      <c r="H85" s="211">
        <v>21.45004510604449</v>
      </c>
      <c r="I85" s="19">
        <v>20.77110928546273</v>
      </c>
      <c r="J85" s="211">
        <v>19.5493409397394</v>
      </c>
      <c r="K85" s="211">
        <v>19.9431362902664</v>
      </c>
      <c r="L85" s="211">
        <v>20.37079514394029</v>
      </c>
      <c r="M85" s="211">
        <v>21.13493123187888</v>
      </c>
      <c r="N85" s="211"/>
    </row>
    <row r="86" spans="1:14" ht="12.75">
      <c r="A86">
        <v>30309</v>
      </c>
      <c r="B86" s="1" t="s">
        <v>63</v>
      </c>
      <c r="C86" s="211">
        <v>22.97122830434944</v>
      </c>
      <c r="D86" s="213">
        <v>22.93528419006221</v>
      </c>
      <c r="E86" s="211">
        <v>22.92295239895788</v>
      </c>
      <c r="F86" s="211">
        <v>23.06776737269632</v>
      </c>
      <c r="G86" s="211">
        <v>23.22825451661524</v>
      </c>
      <c r="H86" s="211">
        <v>23.203833115443178</v>
      </c>
      <c r="I86" s="19">
        <v>22.70463970199201</v>
      </c>
      <c r="J86" s="211">
        <v>23.126061757459073</v>
      </c>
      <c r="K86" s="211">
        <v>23.126061757459073</v>
      </c>
      <c r="L86" s="211">
        <v>22.97463433026635</v>
      </c>
      <c r="M86" s="211">
        <v>23.756872784441473</v>
      </c>
      <c r="N86" s="211"/>
    </row>
    <row r="87" spans="1:14" ht="12.75">
      <c r="A87">
        <v>30500</v>
      </c>
      <c r="B87" s="68" t="s">
        <v>208</v>
      </c>
      <c r="C87" s="211"/>
      <c r="D87" s="213"/>
      <c r="E87" s="211"/>
      <c r="F87" s="211"/>
      <c r="G87" s="211"/>
      <c r="H87" s="211"/>
      <c r="I87" s="19"/>
      <c r="J87" s="211"/>
      <c r="K87" s="211"/>
      <c r="L87" s="211"/>
      <c r="M87" s="211"/>
      <c r="N87" s="211"/>
    </row>
    <row r="88" spans="1:14" ht="12.75">
      <c r="A88">
        <v>30505</v>
      </c>
      <c r="B88" s="1" t="s">
        <v>241</v>
      </c>
      <c r="C88" s="211">
        <v>9.26823886229472</v>
      </c>
      <c r="D88" s="213">
        <v>9.45664730487288</v>
      </c>
      <c r="E88" s="211">
        <v>9.50808841061722</v>
      </c>
      <c r="F88" s="211">
        <v>9.539576252229</v>
      </c>
      <c r="G88" s="211">
        <v>9.57315516904426</v>
      </c>
      <c r="H88" s="211">
        <v>9.54523434282335</v>
      </c>
      <c r="I88" s="19">
        <v>9.54523434282335</v>
      </c>
      <c r="J88" s="211">
        <v>9.52293553388076</v>
      </c>
      <c r="K88" s="211">
        <v>9.54523434282335</v>
      </c>
      <c r="L88" s="211">
        <v>9.57380659989862</v>
      </c>
      <c r="M88" s="211">
        <v>9.57380659989862</v>
      </c>
      <c r="N88" s="211"/>
    </row>
    <row r="89" spans="1:14" ht="12.75">
      <c r="A89">
        <v>40000</v>
      </c>
      <c r="B89" s="68" t="s">
        <v>64</v>
      </c>
      <c r="C89" s="211"/>
      <c r="D89" s="213"/>
      <c r="E89" s="211"/>
      <c r="F89" s="211"/>
      <c r="G89" s="211"/>
      <c r="H89" s="211"/>
      <c r="I89" s="19"/>
      <c r="J89" s="211"/>
      <c r="K89" s="211"/>
      <c r="L89" s="211"/>
      <c r="M89" s="211"/>
      <c r="N89" s="211"/>
    </row>
    <row r="90" spans="1:14" ht="12.75">
      <c r="A90">
        <v>40100</v>
      </c>
      <c r="B90" s="68" t="s">
        <v>211</v>
      </c>
      <c r="C90" s="211"/>
      <c r="D90" s="213"/>
      <c r="E90" s="211"/>
      <c r="F90" s="211"/>
      <c r="G90" s="211"/>
      <c r="H90" s="211"/>
      <c r="I90" s="19"/>
      <c r="J90" s="211"/>
      <c r="K90" s="211"/>
      <c r="L90" s="211"/>
      <c r="M90" s="211"/>
      <c r="N90" s="211"/>
    </row>
    <row r="91" spans="1:14" ht="12.75">
      <c r="A91">
        <v>40101</v>
      </c>
      <c r="B91" s="1" t="s">
        <v>242</v>
      </c>
      <c r="C91" s="211">
        <v>9.36060232171032</v>
      </c>
      <c r="D91" s="213">
        <v>9.44044046465563</v>
      </c>
      <c r="E91" s="211">
        <v>9.44044046465563</v>
      </c>
      <c r="F91" s="211">
        <v>9.72261690801467</v>
      </c>
      <c r="G91" s="211">
        <v>9.93511288353352</v>
      </c>
      <c r="H91" s="211">
        <v>10.01834034414962</v>
      </c>
      <c r="I91" s="19">
        <v>10.01834034414962</v>
      </c>
      <c r="J91" s="211">
        <v>10.01834034414962</v>
      </c>
      <c r="K91" s="211">
        <v>10.34407526409088</v>
      </c>
      <c r="L91" s="211">
        <v>10.44252416015248</v>
      </c>
      <c r="M91" s="211">
        <v>10.60110306225944</v>
      </c>
      <c r="N91" s="211"/>
    </row>
    <row r="92" spans="1:14" ht="12.75">
      <c r="A92">
        <v>40102</v>
      </c>
      <c r="B92" s="1" t="s">
        <v>66</v>
      </c>
      <c r="C92" s="211">
        <v>25.77414141971358</v>
      </c>
      <c r="D92" s="213">
        <v>25.827075596448868</v>
      </c>
      <c r="E92" s="211">
        <v>25.89318143492427</v>
      </c>
      <c r="F92" s="211">
        <v>25.856658801360883</v>
      </c>
      <c r="G92" s="211">
        <v>25.820248524979633</v>
      </c>
      <c r="H92" s="211">
        <v>25.85575132836644</v>
      </c>
      <c r="I92" s="19">
        <v>25.923173165050702</v>
      </c>
      <c r="J92" s="211">
        <v>26.663164150169802</v>
      </c>
      <c r="K92" s="211">
        <v>26.86684803365333</v>
      </c>
      <c r="L92" s="211">
        <v>26.90935959207072</v>
      </c>
      <c r="M92" s="211">
        <v>27.2023525513268</v>
      </c>
      <c r="N92" s="211"/>
    </row>
    <row r="93" spans="1:14" ht="12.75">
      <c r="A93">
        <v>40200</v>
      </c>
      <c r="B93" s="68" t="s">
        <v>258</v>
      </c>
      <c r="C93" s="211"/>
      <c r="D93" s="213"/>
      <c r="E93" s="211"/>
      <c r="F93" s="211"/>
      <c r="G93" s="211"/>
      <c r="H93" s="211"/>
      <c r="I93" s="19"/>
      <c r="J93" s="211"/>
      <c r="K93" s="211"/>
      <c r="L93" s="211"/>
      <c r="M93" s="211"/>
      <c r="N93" s="211"/>
    </row>
    <row r="94" spans="1:14" ht="12.75">
      <c r="A94">
        <v>40201</v>
      </c>
      <c r="B94" s="1" t="s">
        <v>68</v>
      </c>
      <c r="C94" s="211">
        <v>1.94720733695049</v>
      </c>
      <c r="D94" s="213">
        <v>1.96382070004334</v>
      </c>
      <c r="E94" s="211">
        <v>1.96382070004334</v>
      </c>
      <c r="F94" s="211">
        <v>1.96382070004334</v>
      </c>
      <c r="G94" s="211">
        <v>1.96382070004334</v>
      </c>
      <c r="H94" s="211">
        <v>1.96382070004334</v>
      </c>
      <c r="I94" s="19">
        <v>1.96382070004334</v>
      </c>
      <c r="J94" s="211">
        <v>1.96382070004334</v>
      </c>
      <c r="K94" s="211">
        <v>1.96382070004334</v>
      </c>
      <c r="L94" s="211">
        <v>1.96382070004334</v>
      </c>
      <c r="M94" s="211">
        <v>1.97572382744204</v>
      </c>
      <c r="N94" s="211"/>
    </row>
    <row r="95" spans="1:14" ht="12.75">
      <c r="A95">
        <v>40202</v>
      </c>
      <c r="B95" s="1" t="s">
        <v>69</v>
      </c>
      <c r="C95" s="211">
        <v>1.18782987707138</v>
      </c>
      <c r="D95" s="213">
        <v>1.16673043414331</v>
      </c>
      <c r="E95" s="211">
        <v>1.1566003578188202</v>
      </c>
      <c r="F95" s="211">
        <v>1.17418609448011</v>
      </c>
      <c r="G95" s="211">
        <v>1.17545869992147</v>
      </c>
      <c r="H95" s="211">
        <v>1.16985796907962</v>
      </c>
      <c r="I95" s="19">
        <v>1.1746337983746398</v>
      </c>
      <c r="J95" s="211">
        <v>1.16969251971125</v>
      </c>
      <c r="K95" s="211">
        <v>1.1848342361690003</v>
      </c>
      <c r="L95" s="211">
        <v>1.17439126111704</v>
      </c>
      <c r="M95" s="211">
        <v>1.14953392731961</v>
      </c>
      <c r="N95" s="211"/>
    </row>
    <row r="96" spans="1:14" ht="12.75">
      <c r="A96">
        <v>40204</v>
      </c>
      <c r="B96" s="1" t="s">
        <v>243</v>
      </c>
      <c r="C96" s="211">
        <v>0.48819015328452</v>
      </c>
      <c r="D96" s="213">
        <v>0.48697888419710006</v>
      </c>
      <c r="E96" s="211">
        <v>0.49665617416325</v>
      </c>
      <c r="F96" s="211">
        <v>0.48362562680454</v>
      </c>
      <c r="G96" s="211">
        <v>0.4789812209904</v>
      </c>
      <c r="H96" s="211">
        <v>0.48486226214039</v>
      </c>
      <c r="I96" s="19">
        <v>0.49871502989066</v>
      </c>
      <c r="J96" s="211">
        <v>0.50310247828799</v>
      </c>
      <c r="K96" s="211">
        <v>0.49287339596858</v>
      </c>
      <c r="L96" s="211">
        <v>0.49235505066675</v>
      </c>
      <c r="M96" s="211">
        <v>0.49368226684577</v>
      </c>
      <c r="N96" s="211"/>
    </row>
    <row r="97" spans="1:14" ht="12.75">
      <c r="A97">
        <v>40205</v>
      </c>
      <c r="B97" s="1" t="s">
        <v>70</v>
      </c>
      <c r="C97" s="211">
        <v>0.7994331712217</v>
      </c>
      <c r="D97" s="213">
        <v>0.75871976957755</v>
      </c>
      <c r="E97" s="211">
        <v>0.75324413534395</v>
      </c>
      <c r="F97" s="211">
        <v>0.76359320147346</v>
      </c>
      <c r="G97" s="211">
        <v>0.73575702846314</v>
      </c>
      <c r="H97" s="211">
        <v>0.67426452112055</v>
      </c>
      <c r="I97" s="19">
        <v>0.67136993689954</v>
      </c>
      <c r="J97" s="211">
        <v>0.68195839542913</v>
      </c>
      <c r="K97" s="211">
        <v>0.67758850117701</v>
      </c>
      <c r="L97" s="211">
        <v>0.67544511459854</v>
      </c>
      <c r="M97" s="211">
        <v>0.6766834325731</v>
      </c>
      <c r="N97" s="211"/>
    </row>
    <row r="98" spans="1:14" ht="12.75">
      <c r="A98">
        <v>40207</v>
      </c>
      <c r="B98" s="74" t="s">
        <v>263</v>
      </c>
      <c r="C98" s="211">
        <v>1.88984515016037</v>
      </c>
      <c r="D98" s="213">
        <v>1.91396184932292</v>
      </c>
      <c r="E98" s="211">
        <v>1.90839592851144</v>
      </c>
      <c r="F98" s="211">
        <v>1.8931150287348402</v>
      </c>
      <c r="G98" s="211">
        <v>1.91151279280962</v>
      </c>
      <c r="H98" s="211">
        <v>1.88382286743604</v>
      </c>
      <c r="I98" s="19">
        <v>1.92484341717101</v>
      </c>
      <c r="J98" s="211">
        <v>1.94574477276682</v>
      </c>
      <c r="K98" s="211">
        <v>1.96283428043389</v>
      </c>
      <c r="L98" s="211">
        <v>1.96684077216931</v>
      </c>
      <c r="M98" s="211">
        <v>1.98359491493599</v>
      </c>
      <c r="N98" s="211"/>
    </row>
    <row r="99" spans="1:14" ht="12.75">
      <c r="A99">
        <v>40300</v>
      </c>
      <c r="B99" s="68" t="s">
        <v>215</v>
      </c>
      <c r="C99" s="211"/>
      <c r="D99" s="213"/>
      <c r="E99" s="211"/>
      <c r="F99" s="211"/>
      <c r="G99" s="211"/>
      <c r="H99" s="211"/>
      <c r="I99" s="19"/>
      <c r="J99" s="211"/>
      <c r="K99" s="211"/>
      <c r="L99" s="211"/>
      <c r="M99" s="211"/>
      <c r="N99" s="211"/>
    </row>
    <row r="100" spans="1:14" ht="12.75">
      <c r="A100" s="168">
        <v>40301</v>
      </c>
      <c r="B100" s="169" t="s">
        <v>72</v>
      </c>
      <c r="C100" s="211">
        <v>3.35965817592477</v>
      </c>
      <c r="D100" s="213">
        <v>3.35965817592477</v>
      </c>
      <c r="E100" s="211">
        <v>3.35965817592477</v>
      </c>
      <c r="F100" s="211">
        <v>3.35965817592477</v>
      </c>
      <c r="G100" s="211">
        <v>3.40389178633456</v>
      </c>
      <c r="H100" s="211">
        <v>3.47626510584473</v>
      </c>
      <c r="I100" s="19">
        <v>3.47626510584473</v>
      </c>
      <c r="J100" s="211">
        <v>3.47898372094823</v>
      </c>
      <c r="K100" s="211">
        <v>3.47898372094823</v>
      </c>
      <c r="L100" s="211">
        <v>3.47898372094823</v>
      </c>
      <c r="M100" s="211">
        <v>3.47898372094823</v>
      </c>
      <c r="N100" s="211"/>
    </row>
    <row r="101" spans="1:14" ht="12.75">
      <c r="A101">
        <v>40303</v>
      </c>
      <c r="B101" s="1" t="s">
        <v>244</v>
      </c>
      <c r="C101" s="211">
        <v>4.33798389206503</v>
      </c>
      <c r="D101" s="213">
        <v>4.3720167491099</v>
      </c>
      <c r="E101" s="211">
        <v>3.70847661315832</v>
      </c>
      <c r="F101" s="211">
        <v>3.67132292259402</v>
      </c>
      <c r="G101" s="211">
        <v>3.67132292259402</v>
      </c>
      <c r="H101" s="211">
        <v>3.66243707869009</v>
      </c>
      <c r="I101" s="19">
        <v>3.66243707869009</v>
      </c>
      <c r="J101" s="211">
        <v>3.91746625751321</v>
      </c>
      <c r="K101" s="211">
        <v>3.91746625751321</v>
      </c>
      <c r="L101" s="211">
        <v>3.91746625751321</v>
      </c>
      <c r="M101" s="211">
        <v>3.91746625751321</v>
      </c>
      <c r="N101" s="211"/>
    </row>
    <row r="102" spans="1:14" ht="12.75">
      <c r="A102">
        <v>40305</v>
      </c>
      <c r="B102" s="1" t="s">
        <v>245</v>
      </c>
      <c r="C102" s="211">
        <v>0.35142437523286</v>
      </c>
      <c r="D102" s="213">
        <v>0.35142437523286</v>
      </c>
      <c r="E102" s="211">
        <v>0.35142437523286</v>
      </c>
      <c r="F102" s="211">
        <v>0.35142437523286</v>
      </c>
      <c r="G102" s="211">
        <v>0.35142437523286</v>
      </c>
      <c r="H102" s="211">
        <v>0.35142437523286</v>
      </c>
      <c r="I102" s="19">
        <v>0.35142437523286</v>
      </c>
      <c r="J102" s="211">
        <v>0.35142437523286</v>
      </c>
      <c r="K102" s="211">
        <v>0.35142437523286</v>
      </c>
      <c r="L102" s="211">
        <v>0.35142437523286</v>
      </c>
      <c r="M102" s="211">
        <v>0.35142437523286</v>
      </c>
      <c r="N102" s="211"/>
    </row>
    <row r="103" spans="1:14" ht="12.75">
      <c r="A103">
        <v>40400</v>
      </c>
      <c r="B103" s="68" t="s">
        <v>217</v>
      </c>
      <c r="C103" s="211"/>
      <c r="D103" s="213"/>
      <c r="E103" s="211"/>
      <c r="F103" s="211"/>
      <c r="G103" s="211"/>
      <c r="H103" s="211"/>
      <c r="I103" s="19"/>
      <c r="J103" s="211"/>
      <c r="K103" s="211"/>
      <c r="L103" s="211"/>
      <c r="M103" s="211"/>
      <c r="N103" s="211"/>
    </row>
    <row r="104" spans="1:14" ht="12.75">
      <c r="A104">
        <v>40401</v>
      </c>
      <c r="B104" s="1" t="s">
        <v>74</v>
      </c>
      <c r="C104" s="211">
        <v>1.49912664957678</v>
      </c>
      <c r="D104" s="213">
        <v>1.50076109689471</v>
      </c>
      <c r="E104" s="211">
        <v>1.49821442812167</v>
      </c>
      <c r="F104" s="211">
        <v>1.49975696859722</v>
      </c>
      <c r="G104" s="211">
        <v>1.50967004432716</v>
      </c>
      <c r="H104" s="211">
        <v>1.50535232654846</v>
      </c>
      <c r="I104" s="19">
        <v>1.5115718300490997</v>
      </c>
      <c r="J104" s="211">
        <v>1.5115718300490997</v>
      </c>
      <c r="K104" s="211">
        <v>1.5115718300490997</v>
      </c>
      <c r="L104" s="211">
        <v>1.5115718300490997</v>
      </c>
      <c r="M104" s="211">
        <v>1.51234195234768</v>
      </c>
      <c r="N104" s="211"/>
    </row>
    <row r="105" spans="1:14" ht="12.75">
      <c r="A105">
        <v>40500</v>
      </c>
      <c r="B105" s="68" t="s">
        <v>219</v>
      </c>
      <c r="C105" s="211"/>
      <c r="D105" s="213"/>
      <c r="E105" s="211"/>
      <c r="F105" s="211"/>
      <c r="G105" s="211"/>
      <c r="H105" s="211"/>
      <c r="I105" s="19"/>
      <c r="J105" s="211"/>
      <c r="K105" s="211"/>
      <c r="L105" s="211"/>
      <c r="M105" s="211"/>
      <c r="N105" s="211"/>
    </row>
    <row r="106" spans="1:14" ht="12.75">
      <c r="A106">
        <v>40501</v>
      </c>
      <c r="B106" s="1" t="s">
        <v>76</v>
      </c>
      <c r="C106" s="211">
        <v>1.0085364087020399</v>
      </c>
      <c r="D106" s="213">
        <v>1.0085364087020399</v>
      </c>
      <c r="E106" s="211">
        <v>1.0085364087020399</v>
      </c>
      <c r="F106" s="211">
        <v>1.0085364087020399</v>
      </c>
      <c r="G106" s="211">
        <v>1.01470790521557</v>
      </c>
      <c r="H106" s="211">
        <v>1.01900080320958</v>
      </c>
      <c r="I106" s="19">
        <v>1.02063931344296</v>
      </c>
      <c r="J106" s="211">
        <v>1.02063931344296</v>
      </c>
      <c r="K106" s="211">
        <v>1.02063931344296</v>
      </c>
      <c r="L106" s="211">
        <v>1.0423921050686702</v>
      </c>
      <c r="M106" s="211">
        <v>1.03901984959033</v>
      </c>
      <c r="N106" s="211"/>
    </row>
    <row r="107" spans="1:14" ht="12.75">
      <c r="A107">
        <v>40504</v>
      </c>
      <c r="B107" s="1" t="s">
        <v>77</v>
      </c>
      <c r="C107" s="211">
        <v>2.77842541668079</v>
      </c>
      <c r="D107" s="213">
        <v>2.77842541668079</v>
      </c>
      <c r="E107" s="211">
        <v>2.77842541668079</v>
      </c>
      <c r="F107" s="211">
        <v>2.77842541668079</v>
      </c>
      <c r="G107" s="211">
        <v>2.80767766205571</v>
      </c>
      <c r="H107" s="211">
        <v>2.84159285319545</v>
      </c>
      <c r="I107" s="19">
        <v>2.83535139884725</v>
      </c>
      <c r="J107" s="211">
        <v>2.83535139884725</v>
      </c>
      <c r="K107" s="211">
        <v>2.83535139884725</v>
      </c>
      <c r="L107" s="211">
        <v>2.8821040496016304</v>
      </c>
      <c r="M107" s="211">
        <v>2.8903628753235004</v>
      </c>
      <c r="N107" s="211"/>
    </row>
    <row r="108" spans="1:14" ht="12.75">
      <c r="A108">
        <v>40507</v>
      </c>
      <c r="B108" s="1" t="s">
        <v>246</v>
      </c>
      <c r="C108" s="211">
        <v>73.34749913705787</v>
      </c>
      <c r="D108" s="213">
        <v>73.34749913705787</v>
      </c>
      <c r="E108" s="211">
        <v>73.34749913705787</v>
      </c>
      <c r="F108" s="211">
        <v>73.34749913705787</v>
      </c>
      <c r="G108" s="211">
        <v>81.59996912858726</v>
      </c>
      <c r="H108" s="211">
        <v>81.61052698009296</v>
      </c>
      <c r="I108" s="19">
        <v>81.61052698009296</v>
      </c>
      <c r="J108" s="211">
        <v>81.61052698009296</v>
      </c>
      <c r="K108" s="211">
        <v>81.61052698009296</v>
      </c>
      <c r="L108" s="211">
        <v>82.32608186873064</v>
      </c>
      <c r="M108" s="211">
        <v>84.34833360739393</v>
      </c>
      <c r="N108" s="211"/>
    </row>
    <row r="109" spans="1:14" ht="12.75">
      <c r="A109">
        <v>40600</v>
      </c>
      <c r="B109" s="68" t="s">
        <v>221</v>
      </c>
      <c r="C109" s="211"/>
      <c r="D109" s="213"/>
      <c r="E109" s="211"/>
      <c r="F109" s="211"/>
      <c r="G109" s="211"/>
      <c r="H109" s="211"/>
      <c r="I109" s="19"/>
      <c r="J109" s="211"/>
      <c r="K109" s="211"/>
      <c r="L109" s="211"/>
      <c r="M109" s="211"/>
      <c r="N109" s="211"/>
    </row>
    <row r="110" spans="1:14" ht="12.75">
      <c r="A110">
        <v>40601</v>
      </c>
      <c r="B110" s="1" t="s">
        <v>79</v>
      </c>
      <c r="C110" s="211">
        <v>0.225106396536</v>
      </c>
      <c r="D110" s="213">
        <v>0.225106396536</v>
      </c>
      <c r="E110" s="211">
        <v>0.225106396536</v>
      </c>
      <c r="F110" s="211">
        <v>0.225106396536</v>
      </c>
      <c r="G110" s="211">
        <v>0.225106396536</v>
      </c>
      <c r="H110" s="211">
        <v>0.225106396536</v>
      </c>
      <c r="I110" s="19">
        <v>0.225106396536</v>
      </c>
      <c r="J110" s="211">
        <v>0.225106396536</v>
      </c>
      <c r="K110" s="211">
        <v>0.225106396536</v>
      </c>
      <c r="L110" s="211">
        <v>0.225106396536</v>
      </c>
      <c r="M110" s="211">
        <v>0.225106396536</v>
      </c>
      <c r="N110" s="211"/>
    </row>
    <row r="111" spans="3:14" ht="12.75">
      <c r="C111" s="211">
        <v>43.77861488432429</v>
      </c>
      <c r="D111" s="213">
        <v>44.13138876123609</v>
      </c>
      <c r="E111" s="211">
        <v>44.69297592782442</v>
      </c>
      <c r="F111" s="211">
        <v>44.98014921327565</v>
      </c>
      <c r="G111" s="211">
        <v>45.27854101315351</v>
      </c>
      <c r="H111" s="211">
        <v>45.6133055349922</v>
      </c>
      <c r="I111" s="19">
        <v>46.24459126889837</v>
      </c>
      <c r="J111" s="211">
        <v>46.77543228793486</v>
      </c>
      <c r="K111" s="211">
        <v>47.16673136767169</v>
      </c>
      <c r="L111" s="211">
        <v>47.74671239809421</v>
      </c>
      <c r="M111" s="211">
        <v>47.99635507595407</v>
      </c>
      <c r="N111" s="211"/>
    </row>
  </sheetData>
  <sheetProtection/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17" t="s">
        <v>275</v>
      </c>
      <c r="B1" s="217"/>
      <c r="C1" s="217"/>
      <c r="D1" s="217"/>
      <c r="E1" s="217"/>
      <c r="F1" s="217"/>
      <c r="G1" s="217"/>
      <c r="H1" s="217"/>
    </row>
    <row r="2" spans="1:8" ht="18">
      <c r="A2" s="143"/>
      <c r="B2" s="143"/>
      <c r="C2" s="143"/>
      <c r="D2" s="143"/>
      <c r="E2" s="143"/>
      <c r="F2" s="143"/>
      <c r="G2" s="143"/>
      <c r="H2" s="143"/>
    </row>
    <row r="3" spans="1:9" ht="12.75">
      <c r="A3" s="223" t="s">
        <v>358</v>
      </c>
      <c r="B3" s="224"/>
      <c r="C3" s="224"/>
      <c r="D3" s="224"/>
      <c r="E3" s="224"/>
      <c r="F3" s="224"/>
      <c r="G3" s="224"/>
      <c r="H3" s="224"/>
      <c r="I3" s="22"/>
    </row>
    <row r="4" spans="1:9" ht="12.75">
      <c r="A4" s="214" t="s">
        <v>357</v>
      </c>
      <c r="B4" s="225"/>
      <c r="C4" s="225"/>
      <c r="D4" s="225"/>
      <c r="E4" s="225"/>
      <c r="F4" s="225"/>
      <c r="G4" s="225"/>
      <c r="H4" s="225"/>
      <c r="I4" s="22"/>
    </row>
    <row r="5" spans="1:9" ht="12.75">
      <c r="A5" s="145"/>
      <c r="B5" s="145"/>
      <c r="C5" s="145"/>
      <c r="D5" s="145"/>
      <c r="E5" s="145"/>
      <c r="F5" s="145"/>
      <c r="G5" s="145"/>
      <c r="H5" s="23"/>
      <c r="I5" s="22"/>
    </row>
    <row r="6" spans="1:9" ht="12.75">
      <c r="A6" s="24"/>
      <c r="B6" s="23"/>
      <c r="C6" s="23"/>
      <c r="D6" s="23"/>
      <c r="E6" s="23"/>
      <c r="F6" s="23"/>
      <c r="G6" s="23"/>
      <c r="H6" s="23"/>
      <c r="I6" s="22"/>
    </row>
    <row r="7" spans="1:9" ht="12.75">
      <c r="A7" s="24"/>
      <c r="B7" s="23"/>
      <c r="C7" s="23"/>
      <c r="D7" s="23"/>
      <c r="E7" s="23"/>
      <c r="F7" s="23"/>
      <c r="G7" s="23"/>
      <c r="H7" s="23"/>
      <c r="I7" s="22"/>
    </row>
    <row r="8" spans="1:9" ht="12.75">
      <c r="A8" s="24"/>
      <c r="B8" s="23"/>
      <c r="C8" s="23"/>
      <c r="D8" s="23"/>
      <c r="E8" s="23"/>
      <c r="F8" s="23"/>
      <c r="G8" s="23"/>
      <c r="I8" s="22"/>
    </row>
    <row r="9" spans="1:9" ht="12.75">
      <c r="A9" s="218" t="s">
        <v>150</v>
      </c>
      <c r="B9" s="218"/>
      <c r="C9" s="218"/>
      <c r="D9" s="218"/>
      <c r="E9" s="218"/>
      <c r="F9" s="218"/>
      <c r="G9" s="218"/>
      <c r="H9" s="218"/>
      <c r="I9" s="22"/>
    </row>
    <row r="10" ht="12.75">
      <c r="I10" s="22"/>
    </row>
    <row r="11" spans="1:9" ht="12.75">
      <c r="A11" s="219" t="s">
        <v>364</v>
      </c>
      <c r="B11" s="220"/>
      <c r="C11" s="220"/>
      <c r="D11" s="220"/>
      <c r="E11" s="220"/>
      <c r="F11" s="220"/>
      <c r="G11" s="220"/>
      <c r="H11" s="220"/>
      <c r="I11" s="22"/>
    </row>
    <row r="12" spans="1:9" ht="12.75">
      <c r="A12" s="26" t="s">
        <v>0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7"/>
    </row>
    <row r="13" spans="1:9" ht="12.75">
      <c r="A13" s="37"/>
      <c r="B13" s="28"/>
      <c r="C13" s="221" t="s">
        <v>151</v>
      </c>
      <c r="D13" s="222"/>
      <c r="E13" s="72"/>
      <c r="F13" s="71"/>
      <c r="G13" s="52"/>
      <c r="H13" s="53"/>
      <c r="I13" s="27"/>
    </row>
    <row r="14" spans="1:9" ht="12.75">
      <c r="A14" s="38"/>
      <c r="B14" s="29" t="s">
        <v>154</v>
      </c>
      <c r="C14" s="215" t="s">
        <v>306</v>
      </c>
      <c r="D14" s="216"/>
      <c r="E14" s="30" t="s">
        <v>152</v>
      </c>
      <c r="F14" s="31" t="s">
        <v>153</v>
      </c>
      <c r="G14" s="54" t="s">
        <v>226</v>
      </c>
      <c r="H14" s="55"/>
      <c r="I14" s="27"/>
    </row>
    <row r="15" spans="1:9" ht="12.75">
      <c r="A15" s="38"/>
      <c r="B15" s="29" t="s">
        <v>157</v>
      </c>
      <c r="C15" s="31" t="s">
        <v>274</v>
      </c>
      <c r="D15" s="32" t="s">
        <v>129</v>
      </c>
      <c r="E15" s="30" t="s">
        <v>155</v>
      </c>
      <c r="F15" s="31" t="s">
        <v>156</v>
      </c>
      <c r="G15" s="54" t="s">
        <v>227</v>
      </c>
      <c r="H15" s="55"/>
      <c r="I15" s="27"/>
    </row>
    <row r="16" spans="1:9" ht="12.75">
      <c r="A16" s="38"/>
      <c r="B16" s="29" t="s">
        <v>161</v>
      </c>
      <c r="C16" s="32" t="s">
        <v>158</v>
      </c>
      <c r="D16" s="32" t="s">
        <v>158</v>
      </c>
      <c r="E16" s="30" t="s">
        <v>159</v>
      </c>
      <c r="F16" s="31" t="s">
        <v>160</v>
      </c>
      <c r="G16" s="56"/>
      <c r="H16" s="57"/>
      <c r="I16" s="27"/>
    </row>
    <row r="17" spans="1:9" ht="12.75">
      <c r="A17" s="39"/>
      <c r="B17" s="33"/>
      <c r="C17" s="32" t="s">
        <v>273</v>
      </c>
      <c r="D17" s="30" t="s">
        <v>273</v>
      </c>
      <c r="E17" s="58" t="s">
        <v>276</v>
      </c>
      <c r="F17" s="32" t="s">
        <v>155</v>
      </c>
      <c r="G17" s="23" t="s">
        <v>162</v>
      </c>
      <c r="H17" s="58" t="s">
        <v>163</v>
      </c>
      <c r="I17" s="27"/>
    </row>
    <row r="18" spans="1:9" ht="12.75">
      <c r="A18" s="40" t="s">
        <v>0</v>
      </c>
      <c r="B18" s="34" t="s">
        <v>0</v>
      </c>
      <c r="C18" s="70" t="s">
        <v>307</v>
      </c>
      <c r="D18" s="70" t="s">
        <v>365</v>
      </c>
      <c r="E18" s="35" t="s">
        <v>0</v>
      </c>
      <c r="F18" s="34" t="s">
        <v>0</v>
      </c>
      <c r="G18" s="77" t="s">
        <v>276</v>
      </c>
      <c r="H18" s="59" t="s">
        <v>164</v>
      </c>
      <c r="I18" s="27"/>
    </row>
    <row r="19" spans="1:9" ht="12.75">
      <c r="A19" s="25"/>
      <c r="B19" s="25"/>
      <c r="C19" s="36"/>
      <c r="D19" s="25"/>
      <c r="E19" s="25"/>
      <c r="F19" s="26" t="s">
        <v>0</v>
      </c>
      <c r="G19" s="25"/>
      <c r="H19" s="25"/>
      <c r="I19" s="27"/>
    </row>
    <row r="20" spans="1:9" ht="12.75">
      <c r="A20" s="51" t="s">
        <v>165</v>
      </c>
      <c r="B20" s="50" t="s">
        <v>118</v>
      </c>
      <c r="C20" s="62">
        <v>0.5742000261263369</v>
      </c>
      <c r="D20" s="62">
        <v>0.5742000261263369</v>
      </c>
      <c r="E20" s="163">
        <v>467.56984326552606</v>
      </c>
      <c r="F20" s="163">
        <v>317.34</v>
      </c>
      <c r="G20" s="163">
        <v>150.22984326552609</v>
      </c>
      <c r="H20" s="62">
        <v>32.12992570613943</v>
      </c>
      <c r="I20" s="27"/>
    </row>
    <row r="21" spans="1:9" ht="12.75">
      <c r="A21" s="42"/>
      <c r="B21" s="25"/>
      <c r="C21" s="60"/>
      <c r="D21" s="203"/>
      <c r="E21" s="164"/>
      <c r="F21" s="165"/>
      <c r="G21" s="165"/>
      <c r="H21" s="61"/>
      <c r="I21" s="27"/>
    </row>
    <row r="22" spans="1:9" ht="12.75">
      <c r="A22" s="51" t="s">
        <v>166</v>
      </c>
      <c r="B22" s="50" t="s">
        <v>1</v>
      </c>
      <c r="C22" s="62">
        <v>0.6209019530655224</v>
      </c>
      <c r="D22" s="204">
        <v>0.6209019530655224</v>
      </c>
      <c r="E22" s="167">
        <v>146.8253924779862</v>
      </c>
      <c r="F22" s="163">
        <v>70.3570604933421</v>
      </c>
      <c r="G22" s="163">
        <v>76.46833198464411</v>
      </c>
      <c r="H22" s="62">
        <v>16.354419149572667</v>
      </c>
      <c r="I22" s="27"/>
    </row>
    <row r="23" spans="1:9" ht="12.75">
      <c r="A23" s="43" t="s">
        <v>167</v>
      </c>
      <c r="B23" s="44" t="s">
        <v>168</v>
      </c>
      <c r="C23" s="61">
        <v>-0.21185593186173746</v>
      </c>
      <c r="D23" s="203">
        <v>-0.21185593186173746</v>
      </c>
      <c r="E23" s="164">
        <v>28.78393376483004</v>
      </c>
      <c r="F23" s="165">
        <v>22.4545208230196</v>
      </c>
      <c r="G23" s="165">
        <v>6.329412941810439</v>
      </c>
      <c r="H23" s="61">
        <v>1.3536828845944322</v>
      </c>
      <c r="I23" s="27"/>
    </row>
    <row r="24" spans="1:9" ht="12.75">
      <c r="A24" s="43" t="s">
        <v>169</v>
      </c>
      <c r="B24" s="45" t="s">
        <v>170</v>
      </c>
      <c r="C24" s="61">
        <v>0.8309315671573225</v>
      </c>
      <c r="D24" s="203">
        <v>0.8309315671573225</v>
      </c>
      <c r="E24" s="164">
        <v>23.871945704360467</v>
      </c>
      <c r="F24" s="165">
        <v>8.624282800719113</v>
      </c>
      <c r="G24" s="165">
        <v>15.247662903641354</v>
      </c>
      <c r="H24" s="61">
        <v>3.261044980392893</v>
      </c>
      <c r="I24" s="27"/>
    </row>
    <row r="25" spans="1:9" ht="12.75">
      <c r="A25" s="43" t="s">
        <v>171</v>
      </c>
      <c r="B25" s="45" t="s">
        <v>172</v>
      </c>
      <c r="C25" s="61">
        <v>4.5228596177703695</v>
      </c>
      <c r="D25" s="203">
        <v>4.5228596177703695</v>
      </c>
      <c r="E25" s="164">
        <v>6.597417748503473</v>
      </c>
      <c r="F25" s="165">
        <v>0</v>
      </c>
      <c r="G25" s="165">
        <v>6.597417748503473</v>
      </c>
      <c r="H25" s="61">
        <v>1.4110015527149589</v>
      </c>
      <c r="I25" s="27"/>
    </row>
    <row r="26" spans="1:9" ht="12.75">
      <c r="A26" s="43" t="s">
        <v>173</v>
      </c>
      <c r="B26" s="45" t="s">
        <v>174</v>
      </c>
      <c r="C26" s="61">
        <v>-0.24024071478994102</v>
      </c>
      <c r="D26" s="203">
        <v>-0.24024071478994102</v>
      </c>
      <c r="E26" s="164">
        <v>5.235383987699955</v>
      </c>
      <c r="F26" s="165">
        <v>0</v>
      </c>
      <c r="G26" s="165">
        <v>5.235383987699955</v>
      </c>
      <c r="H26" s="61">
        <v>1.1197009522974855</v>
      </c>
      <c r="I26" s="27"/>
    </row>
    <row r="27" spans="1:9" ht="12.75">
      <c r="A27" s="43" t="s">
        <v>175</v>
      </c>
      <c r="B27" s="45" t="s">
        <v>176</v>
      </c>
      <c r="C27" s="61">
        <v>1.9328608257886737</v>
      </c>
      <c r="D27" s="203">
        <v>1.9328608257886737</v>
      </c>
      <c r="E27" s="164">
        <v>23.676369880569716</v>
      </c>
      <c r="F27" s="165">
        <v>17.223723790906675</v>
      </c>
      <c r="G27" s="165">
        <v>6.452646089663039</v>
      </c>
      <c r="H27" s="61">
        <v>1.3800389786897946</v>
      </c>
      <c r="I27" s="27"/>
    </row>
    <row r="28" spans="1:9" ht="12.75">
      <c r="A28" s="43" t="s">
        <v>177</v>
      </c>
      <c r="B28" s="45" t="s">
        <v>178</v>
      </c>
      <c r="C28" s="61">
        <v>-6.262345593442687</v>
      </c>
      <c r="D28" s="203">
        <v>-6.262345593442687</v>
      </c>
      <c r="E28" s="164">
        <v>9.455343234417107</v>
      </c>
      <c r="F28" s="165">
        <v>0</v>
      </c>
      <c r="G28" s="165">
        <v>9.455343234417107</v>
      </c>
      <c r="H28" s="61">
        <v>2.022231196173949</v>
      </c>
      <c r="I28" s="27"/>
    </row>
    <row r="29" spans="1:9" ht="12.75">
      <c r="A29" s="43" t="s">
        <v>179</v>
      </c>
      <c r="B29" s="45" t="s">
        <v>180</v>
      </c>
      <c r="C29" s="61">
        <v>2.457087201059438</v>
      </c>
      <c r="D29" s="203">
        <v>2.457087201059438</v>
      </c>
      <c r="E29" s="164">
        <v>9.707904692375799</v>
      </c>
      <c r="F29" s="165">
        <v>7.576436034551957</v>
      </c>
      <c r="G29" s="165">
        <v>2.131468657823842</v>
      </c>
      <c r="H29" s="61">
        <v>0.4558610202355185</v>
      </c>
      <c r="I29" s="27"/>
    </row>
    <row r="30" spans="1:9" ht="12.75">
      <c r="A30" s="43" t="s">
        <v>181</v>
      </c>
      <c r="B30" s="45" t="s">
        <v>182</v>
      </c>
      <c r="C30" s="61">
        <v>0.4911049356187913</v>
      </c>
      <c r="D30" s="203">
        <v>0.4911049356187913</v>
      </c>
      <c r="E30" s="164">
        <v>3.007711569143699</v>
      </c>
      <c r="F30" s="165">
        <v>0</v>
      </c>
      <c r="G30" s="165">
        <v>3.007711569143699</v>
      </c>
      <c r="H30" s="61">
        <v>0.6432646614113784</v>
      </c>
      <c r="I30" s="27"/>
    </row>
    <row r="31" spans="1:9" ht="12.75">
      <c r="A31" s="43" t="s">
        <v>183</v>
      </c>
      <c r="B31" s="45" t="s">
        <v>184</v>
      </c>
      <c r="C31" s="61">
        <v>3.437173583948172</v>
      </c>
      <c r="D31" s="203">
        <v>3.437173583948172</v>
      </c>
      <c r="E31" s="164">
        <v>7.969208801556344</v>
      </c>
      <c r="F31" s="165">
        <v>0</v>
      </c>
      <c r="G31" s="165">
        <v>7.969208801556344</v>
      </c>
      <c r="H31" s="61">
        <v>1.704388962705353</v>
      </c>
      <c r="I31" s="27"/>
    </row>
    <row r="32" spans="1:9" ht="12.75">
      <c r="A32" s="43" t="s">
        <v>185</v>
      </c>
      <c r="B32" s="45" t="s">
        <v>186</v>
      </c>
      <c r="C32" s="61">
        <v>1.4689678110670457</v>
      </c>
      <c r="D32" s="203">
        <v>1.4689678110670457</v>
      </c>
      <c r="E32" s="164">
        <v>7.308883887144638</v>
      </c>
      <c r="F32" s="165">
        <v>5.143250230866275</v>
      </c>
      <c r="G32" s="165">
        <v>2.165633656278364</v>
      </c>
      <c r="H32" s="61">
        <v>0.46316794965934793</v>
      </c>
      <c r="I32" s="27"/>
    </row>
    <row r="33" spans="1:9" ht="12.75">
      <c r="A33" s="43" t="s">
        <v>187</v>
      </c>
      <c r="B33" s="45" t="s">
        <v>225</v>
      </c>
      <c r="C33" s="61">
        <v>0.578686294244779</v>
      </c>
      <c r="D33" s="203">
        <v>0.578686294244779</v>
      </c>
      <c r="E33" s="164">
        <v>5.635611407885424</v>
      </c>
      <c r="F33" s="165">
        <v>0</v>
      </c>
      <c r="G33" s="165">
        <v>5.635611407885424</v>
      </c>
      <c r="H33" s="61">
        <v>1.205298307633806</v>
      </c>
      <c r="I33" s="27"/>
    </row>
    <row r="34" spans="1:9" ht="12.75">
      <c r="A34" s="43" t="s">
        <v>188</v>
      </c>
      <c r="B34" s="45" t="s">
        <v>189</v>
      </c>
      <c r="C34" s="61">
        <v>0.5691607462494641</v>
      </c>
      <c r="D34" s="203">
        <v>0.5691607462494641</v>
      </c>
      <c r="E34" s="164">
        <v>1.0287913113465057</v>
      </c>
      <c r="F34" s="165">
        <v>0</v>
      </c>
      <c r="G34" s="165">
        <v>1.0287913113465057</v>
      </c>
      <c r="H34" s="61">
        <v>0.22002944077004344</v>
      </c>
      <c r="I34" s="27"/>
    </row>
    <row r="35" spans="1:9" ht="24">
      <c r="A35" s="43" t="s">
        <v>190</v>
      </c>
      <c r="B35" s="46" t="s">
        <v>191</v>
      </c>
      <c r="C35" s="61">
        <v>0.16441728110674347</v>
      </c>
      <c r="D35" s="203">
        <v>0.16441728110674347</v>
      </c>
      <c r="E35" s="164">
        <v>14.546886488153035</v>
      </c>
      <c r="F35" s="165">
        <v>9.334846813278473</v>
      </c>
      <c r="G35" s="165">
        <v>5.212039674874562</v>
      </c>
      <c r="H35" s="61">
        <v>1.1147082622937086</v>
      </c>
      <c r="I35" s="27"/>
    </row>
    <row r="36" spans="1:9" ht="12.75">
      <c r="A36" s="47"/>
      <c r="B36" s="48"/>
      <c r="C36" s="61"/>
      <c r="D36" s="203"/>
      <c r="E36" s="164"/>
      <c r="F36" s="165"/>
      <c r="G36" s="165"/>
      <c r="H36" s="61"/>
      <c r="I36" s="27"/>
    </row>
    <row r="37" spans="1:9" ht="12.75">
      <c r="A37" s="51" t="s">
        <v>192</v>
      </c>
      <c r="B37" s="50" t="s">
        <v>42</v>
      </c>
      <c r="C37" s="62">
        <v>0.3490154719178351</v>
      </c>
      <c r="D37" s="204">
        <v>0.3490154719178351</v>
      </c>
      <c r="E37" s="167">
        <v>141.2057422074629</v>
      </c>
      <c r="F37" s="163">
        <v>137.15247138118792</v>
      </c>
      <c r="G37" s="163">
        <v>4.053270826274963</v>
      </c>
      <c r="H37" s="62">
        <v>0.8668802927850865</v>
      </c>
      <c r="I37" s="27"/>
    </row>
    <row r="38" spans="1:9" ht="12.75">
      <c r="A38" s="43" t="s">
        <v>193</v>
      </c>
      <c r="B38" s="45" t="s">
        <v>194</v>
      </c>
      <c r="C38" s="61">
        <v>0.4648830033465945</v>
      </c>
      <c r="D38" s="203">
        <v>0.4648830033465945</v>
      </c>
      <c r="E38" s="164">
        <v>109.46480762330278</v>
      </c>
      <c r="F38" s="165">
        <v>109.46480762330278</v>
      </c>
      <c r="G38" s="166" t="s">
        <v>137</v>
      </c>
      <c r="H38" s="166" t="s">
        <v>137</v>
      </c>
      <c r="I38" s="27"/>
    </row>
    <row r="39" spans="1:9" ht="12.75">
      <c r="A39" s="43" t="s">
        <v>195</v>
      </c>
      <c r="B39" s="45" t="s">
        <v>196</v>
      </c>
      <c r="C39" s="61">
        <v>-0.3190524123692584</v>
      </c>
      <c r="D39" s="203">
        <v>-0.3190524123692584</v>
      </c>
      <c r="E39" s="164">
        <v>19.643159239398205</v>
      </c>
      <c r="F39" s="165">
        <v>19.643159239398205</v>
      </c>
      <c r="G39" s="166" t="s">
        <v>137</v>
      </c>
      <c r="H39" s="166" t="s">
        <v>137</v>
      </c>
      <c r="I39" s="27"/>
    </row>
    <row r="40" spans="1:9" ht="12.75">
      <c r="A40" s="43" t="s">
        <v>197</v>
      </c>
      <c r="B40" s="45" t="s">
        <v>198</v>
      </c>
      <c r="C40" s="61">
        <v>0.3575986171250989</v>
      </c>
      <c r="D40" s="203">
        <v>0.3575986171250989</v>
      </c>
      <c r="E40" s="164">
        <v>11.16902929088933</v>
      </c>
      <c r="F40" s="165">
        <v>8.044504518486931</v>
      </c>
      <c r="G40" s="165">
        <v>3.124524772402398</v>
      </c>
      <c r="H40" s="61">
        <v>0.6682477104555322</v>
      </c>
      <c r="I40" s="27"/>
    </row>
    <row r="41" spans="1:9" ht="12.75">
      <c r="A41" s="43" t="s">
        <v>199</v>
      </c>
      <c r="B41" s="45" t="s">
        <v>200</v>
      </c>
      <c r="C41" s="61">
        <v>0.8318338277073289</v>
      </c>
      <c r="D41" s="203">
        <v>0.8318338277073289</v>
      </c>
      <c r="E41" s="164">
        <v>0.9287460538725643</v>
      </c>
      <c r="F41" s="165">
        <v>0</v>
      </c>
      <c r="G41" s="165">
        <v>0.9287460538725643</v>
      </c>
      <c r="H41" s="61">
        <v>0.19863258232955433</v>
      </c>
      <c r="I41" s="27"/>
    </row>
    <row r="42" spans="1:9" ht="12.75">
      <c r="A42" s="47"/>
      <c r="B42" s="48"/>
      <c r="C42" s="61"/>
      <c r="D42" s="203"/>
      <c r="E42" s="164"/>
      <c r="F42" s="165"/>
      <c r="G42" s="165"/>
      <c r="H42" s="61"/>
      <c r="I42" s="27"/>
    </row>
    <row r="43" spans="1:9" ht="12.75">
      <c r="A43" s="51" t="s">
        <v>201</v>
      </c>
      <c r="B43" s="50" t="s">
        <v>52</v>
      </c>
      <c r="C43" s="62">
        <v>0.8296529138223985</v>
      </c>
      <c r="D43" s="204">
        <v>0.8296529138223985</v>
      </c>
      <c r="E43" s="167">
        <v>26.68188940535361</v>
      </c>
      <c r="F43" s="163">
        <v>0</v>
      </c>
      <c r="G43" s="163">
        <v>26.68188940535361</v>
      </c>
      <c r="H43" s="62">
        <v>5.706503485983239</v>
      </c>
      <c r="I43" s="27"/>
    </row>
    <row r="44" spans="1:9" ht="12.75">
      <c r="A44" s="43" t="s">
        <v>202</v>
      </c>
      <c r="B44" s="45" t="s">
        <v>255</v>
      </c>
      <c r="C44" s="61">
        <v>4.656638802143664</v>
      </c>
      <c r="D44" s="203">
        <v>4.656638802143664</v>
      </c>
      <c r="E44" s="164">
        <v>1.8919421252082422</v>
      </c>
      <c r="F44" s="165">
        <v>0</v>
      </c>
      <c r="G44" s="165">
        <v>1.8919421252082422</v>
      </c>
      <c r="H44" s="61">
        <v>0.40463305160889856</v>
      </c>
      <c r="I44" s="27"/>
    </row>
    <row r="45" spans="1:9" ht="12.75">
      <c r="A45" s="43" t="s">
        <v>203</v>
      </c>
      <c r="B45" s="45" t="s">
        <v>204</v>
      </c>
      <c r="C45" s="61">
        <v>-0.3859342442991798</v>
      </c>
      <c r="D45" s="203">
        <v>-0.3859342442991798</v>
      </c>
      <c r="E45" s="164">
        <v>12.984080042862935</v>
      </c>
      <c r="F45" s="165">
        <v>0</v>
      </c>
      <c r="G45" s="165">
        <v>12.984080042862935</v>
      </c>
      <c r="H45" s="61">
        <v>2.776928458897523</v>
      </c>
      <c r="I45" s="27"/>
    </row>
    <row r="46" spans="1:9" ht="12.75">
      <c r="A46" s="43" t="s">
        <v>205</v>
      </c>
      <c r="B46" s="45" t="s">
        <v>206</v>
      </c>
      <c r="C46" s="61">
        <v>1.878053896096743</v>
      </c>
      <c r="D46" s="203">
        <v>1.878053896096743</v>
      </c>
      <c r="E46" s="164">
        <v>10.071905272818311</v>
      </c>
      <c r="F46" s="165">
        <v>0</v>
      </c>
      <c r="G46" s="165">
        <v>10.071905272818311</v>
      </c>
      <c r="H46" s="61">
        <v>2.1540964238573923</v>
      </c>
      <c r="I46" s="27"/>
    </row>
    <row r="47" spans="1:9" ht="12.75">
      <c r="A47" s="43" t="s">
        <v>207</v>
      </c>
      <c r="B47" s="45" t="s">
        <v>208</v>
      </c>
      <c r="C47" s="61">
        <v>0</v>
      </c>
      <c r="D47" s="203">
        <v>0</v>
      </c>
      <c r="E47" s="164">
        <v>1.7339619644641207</v>
      </c>
      <c r="F47" s="165">
        <v>0</v>
      </c>
      <c r="G47" s="165">
        <v>1.7339619644641207</v>
      </c>
      <c r="H47" s="61">
        <v>0.3708455516194249</v>
      </c>
      <c r="I47" s="27"/>
    </row>
    <row r="48" spans="1:9" ht="12.75">
      <c r="A48" s="47"/>
      <c r="B48" s="48"/>
      <c r="C48" s="61"/>
      <c r="D48" s="203"/>
      <c r="E48" s="164"/>
      <c r="F48" s="165"/>
      <c r="G48" s="165"/>
      <c r="H48" s="61"/>
      <c r="I48" s="27"/>
    </row>
    <row r="49" spans="1:9" ht="12.75">
      <c r="A49" s="51" t="s">
        <v>209</v>
      </c>
      <c r="B49" s="50" t="s">
        <v>64</v>
      </c>
      <c r="C49" s="62">
        <v>0.693512808452601</v>
      </c>
      <c r="D49" s="204">
        <v>0.693512808452601</v>
      </c>
      <c r="E49" s="167">
        <v>152.85681917472334</v>
      </c>
      <c r="F49" s="163">
        <v>109.83046812546992</v>
      </c>
      <c r="G49" s="163">
        <v>43.02635104925342</v>
      </c>
      <c r="H49" s="62">
        <v>9.202122777798436</v>
      </c>
      <c r="I49" s="27"/>
    </row>
    <row r="50" spans="1:9" ht="12.75">
      <c r="A50" s="43" t="s">
        <v>210</v>
      </c>
      <c r="B50" s="45" t="s">
        <v>211</v>
      </c>
      <c r="C50" s="61">
        <v>1.1028049902507497</v>
      </c>
      <c r="D50" s="203">
        <v>1.1028049902507497</v>
      </c>
      <c r="E50" s="164">
        <v>80.76658434706435</v>
      </c>
      <c r="F50" s="165">
        <v>70.46685389863829</v>
      </c>
      <c r="G50" s="165">
        <v>10.29973044842606</v>
      </c>
      <c r="H50" s="61">
        <v>2.2028218022985273</v>
      </c>
      <c r="I50" s="27"/>
    </row>
    <row r="51" spans="1:9" ht="12.75">
      <c r="A51" s="43" t="s">
        <v>212</v>
      </c>
      <c r="B51" s="45" t="s">
        <v>213</v>
      </c>
      <c r="C51" s="61">
        <v>0.18065668579865246</v>
      </c>
      <c r="D51" s="203">
        <v>0.18065668579865246</v>
      </c>
      <c r="E51" s="164">
        <v>9.207840280645666</v>
      </c>
      <c r="F51" s="165">
        <v>0</v>
      </c>
      <c r="G51" s="165">
        <v>9.207840280645666</v>
      </c>
      <c r="H51" s="61">
        <v>1.9692972960654924</v>
      </c>
      <c r="I51" s="27"/>
    </row>
    <row r="52" spans="1:9" ht="12.75">
      <c r="A52" s="43" t="s">
        <v>214</v>
      </c>
      <c r="B52" s="45" t="s">
        <v>215</v>
      </c>
      <c r="C52" s="61">
        <v>0</v>
      </c>
      <c r="D52" s="203">
        <v>0</v>
      </c>
      <c r="E52" s="164">
        <v>16.394824017644805</v>
      </c>
      <c r="F52" s="165">
        <v>1.781997167786411</v>
      </c>
      <c r="G52" s="165">
        <v>14.612826849858394</v>
      </c>
      <c r="H52" s="61">
        <v>3.1252714563030497</v>
      </c>
      <c r="I52" s="27"/>
    </row>
    <row r="53" spans="1:9" ht="12.75">
      <c r="A53" s="43" t="s">
        <v>216</v>
      </c>
      <c r="B53" s="45" t="s">
        <v>217</v>
      </c>
      <c r="C53" s="61">
        <v>0.05094844209656557</v>
      </c>
      <c r="D53" s="203">
        <v>0.05094844209656557</v>
      </c>
      <c r="E53" s="164">
        <v>8.945482455832668</v>
      </c>
      <c r="F53" s="165">
        <v>5.226290294650543</v>
      </c>
      <c r="G53" s="165">
        <v>3.7191921611821246</v>
      </c>
      <c r="H53" s="61">
        <v>0.7954302902015967</v>
      </c>
      <c r="I53" s="27"/>
    </row>
    <row r="54" spans="1:9" ht="12.75">
      <c r="A54" s="205" t="s">
        <v>218</v>
      </c>
      <c r="B54" s="206" t="s">
        <v>219</v>
      </c>
      <c r="C54" s="207">
        <v>1.3424093269196247</v>
      </c>
      <c r="D54" s="208">
        <v>1.3424093269196247</v>
      </c>
      <c r="E54" s="209">
        <v>11.37211883784663</v>
      </c>
      <c r="F54" s="210">
        <v>6.185357528705446</v>
      </c>
      <c r="G54" s="210">
        <v>5.1867613091411835</v>
      </c>
      <c r="H54" s="207">
        <v>1.1093019329297715</v>
      </c>
      <c r="I54" s="27"/>
    </row>
    <row r="55" spans="1:9" ht="12.75">
      <c r="A55" s="205" t="s">
        <v>220</v>
      </c>
      <c r="B55" s="206" t="s">
        <v>221</v>
      </c>
      <c r="C55" s="207">
        <v>0</v>
      </c>
      <c r="D55" s="208">
        <v>0</v>
      </c>
      <c r="E55" s="209">
        <v>26.169969235689216</v>
      </c>
      <c r="F55" s="210">
        <v>0</v>
      </c>
      <c r="G55" s="166" t="s">
        <v>137</v>
      </c>
      <c r="H55" s="166" t="s">
        <v>137</v>
      </c>
      <c r="I55" s="27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27"/>
    </row>
    <row r="57" ht="12.75">
      <c r="I57" s="27"/>
    </row>
    <row r="58" spans="1:9" ht="12.75">
      <c r="A58" s="64" t="s">
        <v>222</v>
      </c>
      <c r="B58" s="17"/>
      <c r="C58" s="20"/>
      <c r="D58" s="20"/>
      <c r="E58" s="21"/>
      <c r="F58" s="20"/>
      <c r="G58" s="20"/>
      <c r="H58" s="20"/>
      <c r="I58" s="27"/>
    </row>
    <row r="59" spans="1:9" ht="12.75">
      <c r="A59" s="65" t="s">
        <v>249</v>
      </c>
      <c r="B59" s="17"/>
      <c r="C59" s="17"/>
      <c r="D59" s="17"/>
      <c r="E59" s="17"/>
      <c r="F59" s="17"/>
      <c r="G59" s="17"/>
      <c r="H59" s="66"/>
      <c r="I59" s="27"/>
    </row>
    <row r="60" spans="1:9" ht="12.75">
      <c r="A60" s="17"/>
      <c r="B60" s="17"/>
      <c r="C60" s="67"/>
      <c r="D60" s="67"/>
      <c r="E60" s="67"/>
      <c r="F60" s="17"/>
      <c r="G60" s="17"/>
      <c r="H60" s="17"/>
      <c r="I60" s="27"/>
    </row>
    <row r="61" ht="12.75">
      <c r="I61" s="27"/>
    </row>
    <row r="62" spans="1:9" ht="12.7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2.7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2.75">
      <c r="A64" s="27"/>
      <c r="B64" s="27"/>
      <c r="C64" s="27"/>
      <c r="D64" s="27"/>
      <c r="E64" s="27"/>
      <c r="F64" s="27"/>
      <c r="G64" s="27"/>
      <c r="H64" s="27"/>
      <c r="I64" s="27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184"/>
      <c r="C2" s="233" t="s">
        <v>355</v>
      </c>
      <c r="D2" s="233"/>
      <c r="E2" s="233"/>
      <c r="F2" s="233"/>
      <c r="G2" s="233"/>
      <c r="H2" s="233"/>
      <c r="I2" s="233"/>
      <c r="J2" s="233"/>
      <c r="K2" s="233"/>
      <c r="L2" s="233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85" t="s">
        <v>310</v>
      </c>
      <c r="C4" s="185" t="s">
        <v>311</v>
      </c>
      <c r="D4" s="185" t="s">
        <v>312</v>
      </c>
      <c r="E4" s="185" t="s">
        <v>313</v>
      </c>
      <c r="F4" s="185" t="s">
        <v>314</v>
      </c>
      <c r="G4" s="185" t="s">
        <v>315</v>
      </c>
      <c r="H4" s="185" t="s">
        <v>316</v>
      </c>
      <c r="I4" s="185" t="s">
        <v>317</v>
      </c>
      <c r="J4" s="185" t="s">
        <v>319</v>
      </c>
      <c r="K4" s="185" t="s">
        <v>318</v>
      </c>
      <c r="L4" s="185" t="s">
        <v>320</v>
      </c>
      <c r="M4" s="185" t="s">
        <v>321</v>
      </c>
    </row>
    <row r="5" spans="1:13" ht="12.75">
      <c r="A5" s="20" t="s">
        <v>309</v>
      </c>
      <c r="B5" s="172"/>
      <c r="C5" s="172"/>
      <c r="D5" s="172"/>
      <c r="E5" s="172"/>
      <c r="F5" s="172"/>
      <c r="J5" s="172"/>
      <c r="K5" s="172"/>
      <c r="L5" s="172"/>
      <c r="M5" s="172"/>
    </row>
    <row r="6" spans="1:13" ht="12.75">
      <c r="A6">
        <v>1982</v>
      </c>
      <c r="B6" s="194"/>
      <c r="C6" s="194"/>
      <c r="D6" s="194"/>
      <c r="E6" s="194"/>
      <c r="F6" s="194"/>
      <c r="G6" s="177"/>
      <c r="H6" s="177"/>
      <c r="I6" s="177"/>
      <c r="J6" s="194"/>
      <c r="K6" s="194"/>
      <c r="L6" s="186">
        <v>10.758</v>
      </c>
      <c r="M6" s="186"/>
    </row>
    <row r="7" spans="1:13" ht="12.75">
      <c r="A7">
        <v>1983</v>
      </c>
      <c r="B7" s="186"/>
      <c r="C7" s="186"/>
      <c r="D7" s="186"/>
      <c r="E7" s="186"/>
      <c r="F7" s="186"/>
      <c r="G7" s="187"/>
      <c r="H7" s="187">
        <v>15.965</v>
      </c>
      <c r="I7" s="187"/>
      <c r="J7" s="186"/>
      <c r="K7" s="186"/>
      <c r="L7" s="186"/>
      <c r="M7" s="186"/>
    </row>
    <row r="8" spans="1:13" ht="12.75">
      <c r="A8">
        <v>1984</v>
      </c>
      <c r="B8" s="186">
        <v>17.757</v>
      </c>
      <c r="C8" s="186"/>
      <c r="D8" s="186">
        <v>22.932</v>
      </c>
      <c r="E8" s="186"/>
      <c r="F8" s="186"/>
      <c r="G8" s="187"/>
      <c r="H8" s="187"/>
      <c r="I8" s="187"/>
      <c r="J8" s="186"/>
      <c r="K8" s="186"/>
      <c r="L8" s="186"/>
      <c r="M8" s="186"/>
    </row>
    <row r="9" spans="1:13" ht="12.75">
      <c r="A9">
        <v>1985</v>
      </c>
      <c r="B9" s="186"/>
      <c r="C9" s="186"/>
      <c r="D9" s="186"/>
      <c r="E9" s="186"/>
      <c r="F9" s="186"/>
      <c r="G9" s="187"/>
      <c r="H9" s="187"/>
      <c r="I9" s="187"/>
      <c r="J9" s="186"/>
      <c r="K9" s="186"/>
      <c r="L9" s="186"/>
      <c r="M9" s="186"/>
    </row>
    <row r="10" spans="1:13" ht="12.75">
      <c r="A10">
        <v>1986</v>
      </c>
      <c r="B10" s="186">
        <v>26.616</v>
      </c>
      <c r="C10" s="186"/>
      <c r="D10" s="186"/>
      <c r="E10" s="186"/>
      <c r="F10" s="186"/>
      <c r="G10" s="187"/>
      <c r="H10" s="187"/>
      <c r="I10" s="186">
        <v>29.64</v>
      </c>
      <c r="J10" s="186"/>
      <c r="K10" s="186"/>
      <c r="L10" s="186"/>
      <c r="M10" s="186"/>
    </row>
    <row r="11" spans="1:13" ht="12.75">
      <c r="A11">
        <v>1987</v>
      </c>
      <c r="B11" s="186"/>
      <c r="C11" s="186"/>
      <c r="D11" s="186"/>
      <c r="E11" s="186"/>
      <c r="F11" s="186"/>
      <c r="G11" s="187"/>
      <c r="H11" s="186">
        <v>37.667</v>
      </c>
      <c r="I11" s="186"/>
      <c r="J11" s="186"/>
      <c r="K11" s="186"/>
      <c r="L11" s="186"/>
      <c r="M11" s="186"/>
    </row>
    <row r="12" spans="1:13" ht="12.75">
      <c r="A12">
        <v>1988</v>
      </c>
      <c r="B12" s="186"/>
      <c r="C12" s="186"/>
      <c r="D12" s="186"/>
      <c r="E12" s="186"/>
      <c r="F12" s="186"/>
      <c r="G12" s="187">
        <v>59.354</v>
      </c>
      <c r="H12" s="186"/>
      <c r="I12" s="186"/>
      <c r="J12" s="186">
        <v>70.169</v>
      </c>
      <c r="K12" s="186"/>
      <c r="L12" s="186"/>
      <c r="M12" s="186"/>
    </row>
    <row r="13" spans="1:13" ht="12.75">
      <c r="A13">
        <v>1989</v>
      </c>
      <c r="B13" s="186"/>
      <c r="C13" s="186"/>
      <c r="D13" s="186"/>
      <c r="E13" s="186"/>
      <c r="F13" s="186">
        <v>104.177</v>
      </c>
      <c r="G13" s="187"/>
      <c r="H13" s="186"/>
      <c r="I13" s="186"/>
      <c r="J13" s="186"/>
      <c r="K13" s="186"/>
      <c r="L13" s="186">
        <v>124.785</v>
      </c>
      <c r="M13" s="186"/>
    </row>
    <row r="14" spans="1:13" ht="12.75">
      <c r="A14">
        <v>1990</v>
      </c>
      <c r="B14" s="186"/>
      <c r="C14" s="186"/>
      <c r="D14" s="186"/>
      <c r="E14" s="186"/>
      <c r="F14" s="186"/>
      <c r="G14" s="187"/>
      <c r="H14" s="186"/>
      <c r="I14" s="186"/>
      <c r="J14" s="186"/>
      <c r="K14" s="186">
        <v>173.107</v>
      </c>
      <c r="L14" s="186">
        <v>179.071</v>
      </c>
      <c r="M14" s="186">
        <v>183.773</v>
      </c>
    </row>
    <row r="15" spans="1:13" ht="12.75">
      <c r="A15">
        <v>1991</v>
      </c>
      <c r="B15" s="186">
        <v>193.596</v>
      </c>
      <c r="C15" s="186">
        <v>201.455</v>
      </c>
      <c r="D15" s="186">
        <v>208.823</v>
      </c>
      <c r="E15" s="186">
        <v>214.928</v>
      </c>
      <c r="F15" s="186">
        <v>223.769</v>
      </c>
      <c r="G15" s="187">
        <v>230.786</v>
      </c>
      <c r="H15" s="186">
        <v>236.399</v>
      </c>
      <c r="I15" s="186">
        <v>242.223</v>
      </c>
      <c r="J15" s="186">
        <v>251.135</v>
      </c>
      <c r="K15" s="186">
        <v>258.362</v>
      </c>
      <c r="L15" s="186">
        <v>264.467</v>
      </c>
      <c r="M15" s="186">
        <v>276.536</v>
      </c>
    </row>
    <row r="16" spans="1:13" ht="12.75">
      <c r="A16">
        <v>1992</v>
      </c>
      <c r="B16" s="186">
        <v>289.868</v>
      </c>
      <c r="C16" s="186">
        <v>300.113</v>
      </c>
      <c r="D16" s="186">
        <v>309.586</v>
      </c>
      <c r="E16" s="186">
        <v>325.865</v>
      </c>
      <c r="F16" s="186">
        <v>338.425</v>
      </c>
      <c r="G16" s="187">
        <v>350.915</v>
      </c>
      <c r="H16" s="186">
        <v>362.212</v>
      </c>
      <c r="I16" s="186">
        <v>378.842</v>
      </c>
      <c r="J16" s="186"/>
      <c r="K16" s="186"/>
      <c r="L16" s="186"/>
      <c r="M16" s="186"/>
    </row>
    <row r="17" spans="1:13" ht="12.75">
      <c r="A17">
        <v>1993</v>
      </c>
      <c r="B17" s="186"/>
      <c r="C17" s="186"/>
      <c r="D17" s="186"/>
      <c r="E17" s="186"/>
      <c r="F17" s="186"/>
      <c r="G17" s="187">
        <v>557.58</v>
      </c>
      <c r="H17" s="186">
        <v>566.808</v>
      </c>
      <c r="I17" s="186">
        <v>575.597</v>
      </c>
      <c r="J17" s="186">
        <v>588.754</v>
      </c>
      <c r="K17" s="186">
        <v>603.732</v>
      </c>
      <c r="L17" s="186">
        <v>613.14</v>
      </c>
      <c r="M17" s="186">
        <v>617.923</v>
      </c>
    </row>
    <row r="18" spans="1:13" ht="12.75">
      <c r="A18">
        <v>1994</v>
      </c>
      <c r="B18" s="186">
        <v>657.9</v>
      </c>
      <c r="C18" s="186">
        <v>679.466</v>
      </c>
      <c r="D18" s="186">
        <v>701.925</v>
      </c>
      <c r="E18" s="186">
        <v>719.981</v>
      </c>
      <c r="F18" s="186">
        <v>731.723</v>
      </c>
      <c r="G18" s="187">
        <v>744.57</v>
      </c>
      <c r="H18" s="186">
        <v>754.187</v>
      </c>
      <c r="I18" s="186">
        <v>765.234</v>
      </c>
      <c r="J18" s="186">
        <v>777.623</v>
      </c>
      <c r="K18" s="186">
        <v>791.71</v>
      </c>
      <c r="L18" s="186">
        <v>807.4</v>
      </c>
      <c r="M18" s="186">
        <v>831.727</v>
      </c>
    </row>
    <row r="19" spans="1:13" ht="12.75">
      <c r="A19">
        <v>1995</v>
      </c>
      <c r="B19" s="186">
        <v>858.832</v>
      </c>
      <c r="C19" s="186">
        <v>876.887</v>
      </c>
      <c r="D19" s="186">
        <v>893.171</v>
      </c>
      <c r="E19" s="186">
        <v>908.054</v>
      </c>
      <c r="F19" s="186">
        <v>924.438</v>
      </c>
      <c r="G19" s="186">
        <v>939.524</v>
      </c>
      <c r="H19" s="186">
        <v>951.695</v>
      </c>
      <c r="I19" s="186">
        <v>964.457</v>
      </c>
      <c r="J19" s="186">
        <v>995.604</v>
      </c>
      <c r="K19" s="191" t="s">
        <v>322</v>
      </c>
      <c r="L19" s="187" t="s">
        <v>323</v>
      </c>
      <c r="M19" s="187" t="s">
        <v>324</v>
      </c>
    </row>
    <row r="20" spans="1:13" ht="12.75">
      <c r="A20">
        <v>1996</v>
      </c>
      <c r="B20" s="192" t="s">
        <v>325</v>
      </c>
      <c r="C20" s="192" t="s">
        <v>326</v>
      </c>
      <c r="D20" s="192" t="s">
        <v>327</v>
      </c>
      <c r="E20" s="192" t="s">
        <v>328</v>
      </c>
      <c r="F20" s="192" t="s">
        <v>329</v>
      </c>
      <c r="G20" s="192" t="s">
        <v>330</v>
      </c>
      <c r="H20" s="192" t="s">
        <v>331</v>
      </c>
      <c r="I20" s="192" t="s">
        <v>332</v>
      </c>
      <c r="J20" s="192" t="s">
        <v>333</v>
      </c>
      <c r="K20" s="192" t="s">
        <v>334</v>
      </c>
      <c r="L20" s="192" t="s">
        <v>335</v>
      </c>
      <c r="M20" s="192" t="s">
        <v>336</v>
      </c>
    </row>
    <row r="21" spans="1:13" ht="12.75">
      <c r="A21">
        <v>1997</v>
      </c>
      <c r="B21" s="192" t="s">
        <v>337</v>
      </c>
      <c r="C21" s="192" t="s">
        <v>338</v>
      </c>
      <c r="D21" s="192" t="s">
        <v>339</v>
      </c>
      <c r="E21" s="192" t="s">
        <v>340</v>
      </c>
      <c r="F21" s="192" t="s">
        <v>341</v>
      </c>
      <c r="G21" s="192" t="s">
        <v>342</v>
      </c>
      <c r="H21" s="192" t="s">
        <v>343</v>
      </c>
      <c r="I21" s="192" t="s">
        <v>344</v>
      </c>
      <c r="J21" s="192" t="s">
        <v>345</v>
      </c>
      <c r="K21" s="192" t="s">
        <v>346</v>
      </c>
      <c r="L21" s="192" t="s">
        <v>347</v>
      </c>
      <c r="M21" s="192" t="s">
        <v>348</v>
      </c>
    </row>
    <row r="22" spans="1:13" ht="12.75">
      <c r="A22">
        <v>1998</v>
      </c>
      <c r="B22" s="193">
        <v>1807926</v>
      </c>
      <c r="C22" s="190">
        <v>1843036</v>
      </c>
      <c r="D22" s="190">
        <v>1886602</v>
      </c>
      <c r="E22" s="190">
        <v>1969965</v>
      </c>
      <c r="F22" s="190">
        <v>2004412</v>
      </c>
      <c r="G22" s="190">
        <v>2071303</v>
      </c>
      <c r="H22" s="190">
        <v>2103799</v>
      </c>
      <c r="I22" s="190">
        <v>2140723</v>
      </c>
      <c r="J22" s="190">
        <v>2223761</v>
      </c>
      <c r="K22" s="190">
        <v>2347114</v>
      </c>
      <c r="L22" s="190">
        <v>2404727</v>
      </c>
      <c r="M22" s="190">
        <v>2435098</v>
      </c>
    </row>
    <row r="23" spans="1:13" ht="12.75">
      <c r="A23">
        <v>1999</v>
      </c>
      <c r="B23" s="190">
        <v>2512250</v>
      </c>
      <c r="C23" s="190">
        <v>2603742</v>
      </c>
      <c r="D23" s="190">
        <v>2875117</v>
      </c>
      <c r="E23" s="190">
        <v>3122004</v>
      </c>
      <c r="F23" s="190">
        <v>3168974</v>
      </c>
      <c r="G23" s="190">
        <v>3204801</v>
      </c>
      <c r="H23" s="190">
        <v>3279856</v>
      </c>
      <c r="I23" s="190">
        <v>3307825</v>
      </c>
      <c r="J23" s="190">
        <v>3360077</v>
      </c>
      <c r="K23" s="190">
        <v>3479926</v>
      </c>
      <c r="L23" s="190">
        <v>3722291</v>
      </c>
      <c r="M23" s="190">
        <v>3990099</v>
      </c>
    </row>
    <row r="24" spans="1:13" ht="12.75">
      <c r="A24">
        <v>2000</v>
      </c>
      <c r="B24" s="190">
        <v>4468727</v>
      </c>
      <c r="C24" s="190">
        <v>4915933</v>
      </c>
      <c r="D24" s="190">
        <v>5420781</v>
      </c>
      <c r="E24" s="190">
        <v>6130488</v>
      </c>
      <c r="F24" s="190">
        <v>6518454</v>
      </c>
      <c r="G24" s="176">
        <v>274.76</v>
      </c>
      <c r="H24" s="176">
        <v>226.39</v>
      </c>
      <c r="I24" s="176">
        <v>229.46</v>
      </c>
      <c r="J24" s="182">
        <v>238.25661316067703</v>
      </c>
      <c r="K24" s="176">
        <v>244.17</v>
      </c>
      <c r="L24" s="176">
        <v>248.1</v>
      </c>
      <c r="M24" s="177">
        <v>252.93</v>
      </c>
    </row>
    <row r="25" spans="1:13" ht="12.75">
      <c r="A25">
        <v>2001</v>
      </c>
      <c r="B25" s="177">
        <v>269.77</v>
      </c>
      <c r="C25" s="177">
        <v>278.02</v>
      </c>
      <c r="D25" s="176">
        <v>284.25</v>
      </c>
      <c r="E25" s="176">
        <v>288.45</v>
      </c>
      <c r="F25" s="176">
        <v>287.77</v>
      </c>
      <c r="G25" s="176">
        <v>288.79</v>
      </c>
      <c r="H25" s="176">
        <v>290.66</v>
      </c>
      <c r="I25" s="176">
        <v>292.97</v>
      </c>
      <c r="J25" s="176">
        <v>299.42</v>
      </c>
      <c r="K25" s="176">
        <v>304.06</v>
      </c>
      <c r="L25" s="176">
        <v>310.21</v>
      </c>
      <c r="M25" s="176">
        <v>313.56</v>
      </c>
    </row>
    <row r="26" spans="1:13" ht="12.75">
      <c r="A26">
        <v>2002</v>
      </c>
      <c r="B26" s="176">
        <v>319.15</v>
      </c>
      <c r="C26" s="176">
        <v>323.18</v>
      </c>
      <c r="D26" s="176">
        <v>327.34</v>
      </c>
      <c r="E26" s="176">
        <v>330.31</v>
      </c>
      <c r="F26" s="176">
        <v>333.32</v>
      </c>
      <c r="G26" s="176">
        <v>334.05</v>
      </c>
      <c r="H26" s="176">
        <v>336.29</v>
      </c>
      <c r="I26" s="176">
        <v>339.91</v>
      </c>
      <c r="J26" s="176">
        <v>341.22</v>
      </c>
      <c r="K26" s="176">
        <v>346.14</v>
      </c>
      <c r="L26" s="176">
        <v>351.47</v>
      </c>
      <c r="M26" s="176">
        <v>353.24</v>
      </c>
    </row>
    <row r="27" spans="1:13" ht="12.75">
      <c r="A27">
        <v>2003</v>
      </c>
      <c r="B27" s="176">
        <v>361.75</v>
      </c>
      <c r="C27" s="176">
        <v>362</v>
      </c>
      <c r="D27" s="176">
        <v>363.79</v>
      </c>
      <c r="E27" s="176">
        <v>366.59</v>
      </c>
      <c r="F27" s="176">
        <v>368.72</v>
      </c>
      <c r="G27" s="176">
        <v>369.95</v>
      </c>
      <c r="H27" s="176">
        <v>371.11</v>
      </c>
      <c r="I27" s="176">
        <v>373.8</v>
      </c>
      <c r="J27" s="176">
        <v>376.47</v>
      </c>
      <c r="K27" s="176">
        <v>378.02</v>
      </c>
      <c r="L27" s="176">
        <v>378.29</v>
      </c>
      <c r="M27" s="176">
        <v>378.34</v>
      </c>
    </row>
    <row r="28" spans="1:13" ht="12.75">
      <c r="A28">
        <v>2004</v>
      </c>
      <c r="B28" s="176">
        <v>381.39</v>
      </c>
      <c r="C28" s="176">
        <v>384.03</v>
      </c>
      <c r="D28" s="176">
        <v>385.58</v>
      </c>
      <c r="E28" s="177">
        <v>387.59</v>
      </c>
      <c r="F28" s="177">
        <v>388.38</v>
      </c>
      <c r="G28" s="177">
        <v>387.76</v>
      </c>
      <c r="H28" s="177">
        <v>386.75</v>
      </c>
      <c r="I28" s="177">
        <v>388.57</v>
      </c>
      <c r="J28" s="177"/>
      <c r="K28" s="177"/>
      <c r="L28" s="177"/>
      <c r="M28" s="177"/>
    </row>
    <row r="30" spans="2:13" ht="12.75">
      <c r="B30" s="184"/>
      <c r="C30" s="233" t="s">
        <v>356</v>
      </c>
      <c r="D30" s="233"/>
      <c r="E30" s="233"/>
      <c r="F30" s="233"/>
      <c r="G30" s="233"/>
      <c r="H30" s="233"/>
      <c r="I30" s="233"/>
      <c r="J30" s="233"/>
      <c r="K30" s="233"/>
      <c r="L30" s="233"/>
      <c r="M30" s="183"/>
    </row>
    <row r="31" spans="2:13" ht="12.75">
      <c r="B31" s="4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41"/>
    </row>
    <row r="32" spans="1:13" ht="12.75">
      <c r="A32" s="171"/>
      <c r="B32" s="185" t="s">
        <v>310</v>
      </c>
      <c r="C32" s="185" t="s">
        <v>311</v>
      </c>
      <c r="D32" s="185" t="s">
        <v>312</v>
      </c>
      <c r="E32" s="185" t="s">
        <v>313</v>
      </c>
      <c r="F32" s="185" t="s">
        <v>314</v>
      </c>
      <c r="G32" s="185" t="s">
        <v>315</v>
      </c>
      <c r="H32" s="185" t="s">
        <v>316</v>
      </c>
      <c r="I32" s="185" t="s">
        <v>317</v>
      </c>
      <c r="J32" s="185" t="s">
        <v>319</v>
      </c>
      <c r="K32" s="185" t="s">
        <v>318</v>
      </c>
      <c r="L32" s="185" t="s">
        <v>320</v>
      </c>
      <c r="M32" s="185" t="s">
        <v>321</v>
      </c>
    </row>
    <row r="33" spans="1:13" ht="12.75">
      <c r="A33">
        <v>1982</v>
      </c>
      <c r="B33" s="194"/>
      <c r="C33" s="194"/>
      <c r="D33" s="194"/>
      <c r="E33" s="194"/>
      <c r="F33" s="194"/>
      <c r="G33" s="177"/>
      <c r="H33" s="177"/>
      <c r="I33" s="177"/>
      <c r="J33" s="194"/>
      <c r="K33" s="194"/>
      <c r="L33" s="195">
        <f>10758/33</f>
        <v>326</v>
      </c>
      <c r="M33" s="186"/>
    </row>
    <row r="34" spans="1:13" ht="12.75">
      <c r="A34">
        <v>1983</v>
      </c>
      <c r="B34" s="186"/>
      <c r="C34" s="186"/>
      <c r="D34" s="186"/>
      <c r="E34" s="186"/>
      <c r="F34" s="186"/>
      <c r="G34" s="187"/>
      <c r="H34" s="195">
        <f>15965/47.38</f>
        <v>336.95652173913044</v>
      </c>
      <c r="I34" s="187"/>
      <c r="J34" s="186"/>
      <c r="K34" s="186"/>
      <c r="L34" s="186"/>
      <c r="M34" s="186"/>
    </row>
    <row r="35" spans="1:13" ht="12.75">
      <c r="A35">
        <v>1984</v>
      </c>
      <c r="B35" s="195">
        <f>17757/54.9</f>
        <v>323.44262295081967</v>
      </c>
      <c r="C35" s="195"/>
      <c r="D35" s="195">
        <f>22932/57.9</f>
        <v>396.0621761658031</v>
      </c>
      <c r="E35" s="195"/>
      <c r="F35" s="195"/>
      <c r="G35" s="195"/>
      <c r="H35" s="195"/>
      <c r="I35" s="195"/>
      <c r="J35" s="195"/>
      <c r="K35" s="195"/>
      <c r="L35" s="195"/>
      <c r="M35" s="195"/>
    </row>
    <row r="36" spans="1:13" ht="12.75">
      <c r="A36">
        <v>1985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>
      <c r="A37">
        <v>1986</v>
      </c>
      <c r="B37" s="195">
        <f>26616/97.81</f>
        <v>272.11941519272057</v>
      </c>
      <c r="C37" s="195"/>
      <c r="D37" s="195"/>
      <c r="E37" s="195"/>
      <c r="F37" s="195"/>
      <c r="G37" s="195"/>
      <c r="H37" s="195"/>
      <c r="I37" s="195">
        <f>29640/133.27</f>
        <v>222.4056426802731</v>
      </c>
      <c r="J37" s="195"/>
      <c r="K37" s="195"/>
      <c r="L37" s="195"/>
      <c r="M37" s="195"/>
    </row>
    <row r="38" spans="1:13" ht="12.75">
      <c r="A38">
        <v>1987</v>
      </c>
      <c r="B38" s="195"/>
      <c r="C38" s="195"/>
      <c r="D38" s="195"/>
      <c r="E38" s="195"/>
      <c r="F38" s="195"/>
      <c r="G38" s="195"/>
      <c r="H38" s="195">
        <f>37667/162</f>
        <v>232.51234567901236</v>
      </c>
      <c r="I38" s="195"/>
      <c r="J38" s="195"/>
      <c r="K38" s="195"/>
      <c r="L38" s="195"/>
      <c r="M38" s="195"/>
    </row>
    <row r="39" spans="1:13" ht="12.75">
      <c r="A39">
        <v>1988</v>
      </c>
      <c r="B39" s="195"/>
      <c r="C39" s="195"/>
      <c r="D39" s="195"/>
      <c r="E39" s="195"/>
      <c r="F39" s="195"/>
      <c r="G39" s="195">
        <f>59354/250</f>
        <v>237.416</v>
      </c>
      <c r="H39" s="195"/>
      <c r="I39" s="195"/>
      <c r="J39" s="195">
        <f>70169/409.5</f>
        <v>171.35286935286936</v>
      </c>
      <c r="K39" s="195"/>
      <c r="L39" s="195"/>
      <c r="M39" s="195"/>
    </row>
    <row r="40" spans="1:13" ht="12.75">
      <c r="A40">
        <v>1989</v>
      </c>
      <c r="B40" s="195"/>
      <c r="C40" s="195"/>
      <c r="D40" s="195"/>
      <c r="E40" s="195"/>
      <c r="F40" s="195">
        <f>104177/501.38</f>
        <v>207.78052574893294</v>
      </c>
      <c r="G40" s="195"/>
      <c r="H40" s="195"/>
      <c r="I40" s="195"/>
      <c r="J40" s="195"/>
      <c r="K40" s="195"/>
      <c r="L40" s="195">
        <f>124785/610.79</f>
        <v>204.30098724602564</v>
      </c>
      <c r="M40" s="195"/>
    </row>
    <row r="41" spans="1:13" ht="12.75">
      <c r="A41">
        <v>1990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>
        <f>173107/833.34</f>
        <v>207.7267381860945</v>
      </c>
      <c r="L41" s="195">
        <f>179071/847.38</f>
        <v>211.32313719936747</v>
      </c>
      <c r="M41" s="195">
        <f>183773/863.68</f>
        <v>212.77903853278994</v>
      </c>
    </row>
    <row r="42" spans="1:13" ht="12.75">
      <c r="A42">
        <v>1991</v>
      </c>
      <c r="B42" s="195">
        <f>193596/879.51</f>
        <v>220.11802026128186</v>
      </c>
      <c r="C42" s="195">
        <f>201455/919.95</f>
        <v>218.98472743083863</v>
      </c>
      <c r="D42" s="195">
        <f>208823/962.88</f>
        <v>216.8733383183782</v>
      </c>
      <c r="E42" s="195">
        <f>214928/978.14</f>
        <v>219.731326803934</v>
      </c>
      <c r="F42" s="195">
        <f>223769/994.5</f>
        <v>225.00653594771242</v>
      </c>
      <c r="G42" s="195">
        <f>230786/1010.27</f>
        <v>228.43992200104924</v>
      </c>
      <c r="H42" s="195">
        <f>236399/1026.63</f>
        <v>230.2669900548396</v>
      </c>
      <c r="I42" s="195">
        <f>242223/1060.91</f>
        <v>228.3162567984089</v>
      </c>
      <c r="J42" s="195">
        <f>251135/1098.5</f>
        <v>228.6162949476559</v>
      </c>
      <c r="K42" s="195">
        <f>258362/1114.86</f>
        <v>231.7438960945769</v>
      </c>
      <c r="L42" s="195">
        <f>264467/1128.9</f>
        <v>234.26964301532465</v>
      </c>
      <c r="M42" s="195">
        <f>276536/1202.58</f>
        <v>229.95226928769813</v>
      </c>
    </row>
    <row r="43" spans="1:13" ht="12.75">
      <c r="A43">
        <v>1992</v>
      </c>
      <c r="B43" s="195">
        <f>289868/1275.78</f>
        <v>227.20845286804936</v>
      </c>
      <c r="C43" s="195">
        <f>300113/1293.34</f>
        <v>232.04493791269118</v>
      </c>
      <c r="D43" s="195">
        <f>309586/1308.39</f>
        <v>236.61599370218357</v>
      </c>
      <c r="E43" s="195">
        <f>325865/1322.19</f>
        <v>246.45852714057736</v>
      </c>
      <c r="F43" s="195">
        <f>338425/1345.12</f>
        <v>251.59465326513623</v>
      </c>
      <c r="G43" s="195">
        <f>350915/1394.24</f>
        <v>251.68909226532017</v>
      </c>
      <c r="H43" s="195">
        <f>362212/1438.17</f>
        <v>251.85617833774864</v>
      </c>
      <c r="I43" s="195">
        <f>378842/1459.49</f>
        <v>259.5714941520668</v>
      </c>
      <c r="J43" s="195"/>
      <c r="K43" s="195"/>
      <c r="L43" s="195"/>
      <c r="M43" s="195"/>
    </row>
    <row r="44" spans="1:13" ht="12.75">
      <c r="A44">
        <v>1993</v>
      </c>
      <c r="B44" s="186"/>
      <c r="C44" s="186"/>
      <c r="D44" s="186"/>
      <c r="E44" s="186"/>
      <c r="F44" s="186"/>
      <c r="G44" s="187">
        <f>557580/2000</f>
        <v>278.79</v>
      </c>
      <c r="H44" s="195">
        <f>566808/2000</f>
        <v>283.404</v>
      </c>
      <c r="I44" s="195">
        <f>575597/2000</f>
        <v>287.7985</v>
      </c>
      <c r="J44" s="195">
        <f>588754/1978.43</f>
        <v>297.58647007981074</v>
      </c>
      <c r="K44" s="195">
        <f>603732/1950.1</f>
        <v>309.5902774216707</v>
      </c>
      <c r="L44" s="195">
        <f>613140/1953.45</f>
        <v>313.8754511249328</v>
      </c>
      <c r="M44" s="195">
        <f>617923/1980.9</f>
        <v>311.9405320813771</v>
      </c>
    </row>
    <row r="45" spans="1:13" ht="12.75">
      <c r="A45">
        <v>1994</v>
      </c>
      <c r="B45" s="195">
        <f>657900/2031.04</f>
        <v>323.92271939498977</v>
      </c>
      <c r="C45" s="195">
        <f>679466/2086</f>
        <v>325.7267497603068</v>
      </c>
      <c r="D45" s="195">
        <f>701925/2076.7</f>
        <v>338.0001926132807</v>
      </c>
      <c r="E45" s="195">
        <f>719981/2137.27</f>
        <v>336.86946431662824</v>
      </c>
      <c r="F45" s="195">
        <f>731723/2165.84</f>
        <v>337.84720939681597</v>
      </c>
      <c r="G45" s="195">
        <f>744570/2171.22</f>
        <v>342.9270179898859</v>
      </c>
      <c r="H45" s="195">
        <f>754187/2183.31</f>
        <v>345.432851954143</v>
      </c>
      <c r="I45" s="195">
        <f>765234/2211.36</f>
        <v>346.046776644237</v>
      </c>
      <c r="J45" s="195">
        <f>777623/2252.13</f>
        <v>345.283353980454</v>
      </c>
      <c r="K45" s="195">
        <f>791710/2264.38</f>
        <v>349.63654510285374</v>
      </c>
      <c r="L45" s="195">
        <f>807400/2282.35</f>
        <v>353.7581878327163</v>
      </c>
      <c r="M45" s="195">
        <f>831727/2305.27</f>
        <v>360.79374650257887</v>
      </c>
    </row>
    <row r="46" spans="1:13" ht="12.75">
      <c r="A46">
        <v>1995</v>
      </c>
      <c r="B46" s="195">
        <f>858832/2299.95</f>
        <v>373.4133350725016</v>
      </c>
      <c r="C46" s="195">
        <f>876887/2359.04</f>
        <v>371.71349362452526</v>
      </c>
      <c r="D46" s="195">
        <f>893171/2402.75</f>
        <v>371.72864426178336</v>
      </c>
      <c r="E46" s="195">
        <f>908054/2410.71</f>
        <v>376.67492149615674</v>
      </c>
      <c r="F46" s="195">
        <f>924438/2442.55</f>
        <v>378.472498004135</v>
      </c>
      <c r="G46" s="195">
        <f>939524/2464.04</f>
        <v>381.29413483547347</v>
      </c>
      <c r="H46" s="195">
        <f>951695/2556.19</f>
        <v>372.3099613096053</v>
      </c>
      <c r="I46" s="195">
        <f>964457/2575.85</f>
        <v>374.4228118873382</v>
      </c>
      <c r="J46" s="195">
        <f>995604/2603.34</f>
        <v>382.43333563806493</v>
      </c>
      <c r="K46" s="196">
        <f>1019271/2642.21</f>
        <v>385.7645682969938</v>
      </c>
      <c r="L46" s="195">
        <f>1036873/2700.14</f>
        <v>384.00712555645265</v>
      </c>
      <c r="M46" s="195">
        <f>1053989/2856.59</f>
        <v>368.96754522000003</v>
      </c>
    </row>
    <row r="47" spans="1:13" ht="12.75">
      <c r="A47">
        <v>1996</v>
      </c>
      <c r="B47" s="196">
        <f>1083559/2924.89</f>
        <v>370.4614532512334</v>
      </c>
      <c r="C47" s="196">
        <f>1113233/2928.86</f>
        <v>380.0908886051228</v>
      </c>
      <c r="D47" s="196">
        <f>1143099/2963.65</f>
        <v>385.70647681068954</v>
      </c>
      <c r="E47" s="196">
        <f>1165373/3041.15</f>
        <v>383.20142051526557</v>
      </c>
      <c r="F47" s="196">
        <f>1175295/3080.95</f>
        <v>381.47162401207424</v>
      </c>
      <c r="G47" s="196">
        <f>1201035/3121.9</f>
        <v>384.7128351324514</v>
      </c>
      <c r="H47" s="196">
        <f>1225233/3150.52</f>
        <v>388.8986579993144</v>
      </c>
      <c r="I47" s="196">
        <f>1249701/3189.65</f>
        <v>391.7987867007352</v>
      </c>
      <c r="J47" s="196">
        <f>1279034/3288.42</f>
        <v>388.9509247602192</v>
      </c>
      <c r="K47" s="196">
        <f>1311802/3297.14</f>
        <v>397.8605700698181</v>
      </c>
      <c r="L47" s="196">
        <f>1329621/3330.3</f>
        <v>399.24961715160794</v>
      </c>
      <c r="M47" s="196">
        <f>1351061/3454.25</f>
        <v>391.1300571759427</v>
      </c>
    </row>
    <row r="48" spans="1:13" ht="12.75">
      <c r="A48">
        <v>1997</v>
      </c>
      <c r="B48" s="196">
        <f>1422699/3625.45</f>
        <v>392.4199754513233</v>
      </c>
      <c r="C48" s="196">
        <f>1470664/3686.89</f>
        <v>398.8901214845032</v>
      </c>
      <c r="D48" s="196">
        <f>1494343/3750</f>
        <v>398.49146666666667</v>
      </c>
      <c r="E48" s="196">
        <f>1528371/3793.85</f>
        <v>402.85488356155355</v>
      </c>
      <c r="F48" s="196">
        <f>1542238/3851.95</f>
        <v>400.37850958605384</v>
      </c>
      <c r="G48" s="196">
        <f>1565405/3906</f>
        <v>400.7693292370712</v>
      </c>
      <c r="H48" s="196">
        <f>1603613/3969.59</f>
        <v>403.97446587682856</v>
      </c>
      <c r="I48" s="196">
        <f>1630201/4036.47</f>
        <v>403.8679836589892</v>
      </c>
      <c r="J48" s="196">
        <f>1661520/4104.38</f>
        <v>404.8163181771668</v>
      </c>
      <c r="K48" s="196">
        <f>1701392/4136.95</f>
        <v>411.2672379409952</v>
      </c>
      <c r="L48" s="196">
        <f>1730599/4217.38</f>
        <v>410.3493164002295</v>
      </c>
      <c r="M48" s="196">
        <f>1756143/4302.42</f>
        <v>408.1756313888463</v>
      </c>
    </row>
    <row r="49" spans="1:13" ht="12.75">
      <c r="A49">
        <v>1998</v>
      </c>
      <c r="B49" s="197">
        <f>1807926/4432.85</f>
        <v>407.84732170048613</v>
      </c>
      <c r="C49" s="198">
        <f>1843036/4510.57</f>
        <v>408.60379065173584</v>
      </c>
      <c r="D49" s="198">
        <f>1886602/4554.72</f>
        <v>414.20811817191833</v>
      </c>
      <c r="E49" s="198">
        <f>1969965/4730.95</f>
        <v>416.39945465498477</v>
      </c>
      <c r="F49" s="198">
        <f>2004412/5015.33</f>
        <v>399.65705148016184</v>
      </c>
      <c r="G49" s="198">
        <f>2071303/5167.71</f>
        <v>400.81641578184536</v>
      </c>
      <c r="H49" s="198">
        <f>2103799/5268.27</f>
        <v>399.3339369470433</v>
      </c>
      <c r="I49" s="198">
        <f>2140723/5323.71</f>
        <v>402.11112175531724</v>
      </c>
      <c r="J49" s="198">
        <f>2223761/5466.04</f>
        <v>406.832185640793</v>
      </c>
      <c r="K49" s="198">
        <f>2347114/6106</f>
        <v>384.3946937438585</v>
      </c>
      <c r="L49" s="198">
        <f>2404727/6716.68</f>
        <v>358.02316025179107</v>
      </c>
      <c r="M49" s="198">
        <f>2435098/6455.04</f>
        <v>377.2398002181241</v>
      </c>
    </row>
    <row r="50" spans="1:13" ht="12.75">
      <c r="A50">
        <v>1999</v>
      </c>
      <c r="B50" s="198">
        <f>2512250/6712.95</f>
        <v>374.239343358732</v>
      </c>
      <c r="C50" s="198">
        <f>2603742/7193.31</f>
        <v>361.96716115390547</v>
      </c>
      <c r="D50" s="198">
        <f>2875117/8252.64</f>
        <v>348.3875462882181</v>
      </c>
      <c r="E50" s="198">
        <f>3122004/10551.27</f>
        <v>295.8889309059478</v>
      </c>
      <c r="F50" s="198">
        <f>3168974/9110</f>
        <v>347.85664105378703</v>
      </c>
      <c r="G50" s="198">
        <f>3204801/9318.38</f>
        <v>343.9225487692067</v>
      </c>
      <c r="H50" s="198">
        <f>3279856/11453</f>
        <v>286.375272854274</v>
      </c>
      <c r="I50" s="198">
        <f>3307825/11672.05</f>
        <v>283.3970896286428</v>
      </c>
      <c r="J50" s="198">
        <f>3360077/11101.65</f>
        <v>302.6646489485797</v>
      </c>
      <c r="K50" s="198">
        <f>3479926/13006.22</f>
        <v>267.5585988857639</v>
      </c>
      <c r="L50" s="198">
        <f>3722291/16282</f>
        <v>228.61386807517505</v>
      </c>
      <c r="M50" s="198">
        <f>3990099/17698.09</f>
        <v>225.45365064817727</v>
      </c>
    </row>
    <row r="51" spans="1:13" ht="12.75">
      <c r="A51">
        <v>2000</v>
      </c>
      <c r="B51" s="198">
        <f>4468727/19811.04</f>
        <v>225.56751185197749</v>
      </c>
      <c r="C51" s="198">
        <f>4915933/25000</f>
        <v>196.63732</v>
      </c>
      <c r="D51" s="198">
        <f>5420781/25000</f>
        <v>216.83124</v>
      </c>
      <c r="E51" s="198">
        <f>6130488/25000</f>
        <v>245.21952</v>
      </c>
      <c r="F51" s="198">
        <f>6518454/25000</f>
        <v>260.73816</v>
      </c>
      <c r="G51" s="176">
        <v>274.76</v>
      </c>
      <c r="H51" s="176">
        <v>226.39</v>
      </c>
      <c r="I51" s="176">
        <v>229.46</v>
      </c>
      <c r="J51" s="182">
        <v>238.25661316067703</v>
      </c>
      <c r="K51" s="176">
        <v>244.17</v>
      </c>
      <c r="L51" s="176">
        <v>248.1</v>
      </c>
      <c r="M51" s="177">
        <v>252.93</v>
      </c>
    </row>
    <row r="52" spans="1:13" ht="12.75">
      <c r="A52">
        <v>2001</v>
      </c>
      <c r="B52" s="177">
        <v>269.77</v>
      </c>
      <c r="C52" s="177">
        <v>278.02</v>
      </c>
      <c r="D52" s="176">
        <v>284.25</v>
      </c>
      <c r="E52" s="176">
        <v>288.45</v>
      </c>
      <c r="F52" s="176">
        <v>287.77</v>
      </c>
      <c r="G52" s="176">
        <v>288.79</v>
      </c>
      <c r="H52" s="176">
        <v>290.66</v>
      </c>
      <c r="I52" s="176">
        <v>292.97</v>
      </c>
      <c r="J52" s="176">
        <v>299.42</v>
      </c>
      <c r="K52" s="176">
        <v>304.06</v>
      </c>
      <c r="L52" s="176">
        <v>310.21</v>
      </c>
      <c r="M52" s="176">
        <v>313.56</v>
      </c>
    </row>
    <row r="53" spans="1:13" ht="12.75">
      <c r="A53">
        <v>2002</v>
      </c>
      <c r="B53" s="176">
        <v>319.15</v>
      </c>
      <c r="C53" s="176">
        <v>323.18</v>
      </c>
      <c r="D53" s="176">
        <v>327.34</v>
      </c>
      <c r="E53" s="176">
        <v>330.31</v>
      </c>
      <c r="F53" s="176">
        <v>333.32</v>
      </c>
      <c r="G53" s="176">
        <v>334.05</v>
      </c>
      <c r="H53" s="176">
        <v>336.29</v>
      </c>
      <c r="I53" s="176">
        <v>339.91</v>
      </c>
      <c r="J53" s="176">
        <v>341.22</v>
      </c>
      <c r="K53" s="176">
        <v>346.14</v>
      </c>
      <c r="L53" s="176">
        <v>351.47</v>
      </c>
      <c r="M53" s="176">
        <v>353.24</v>
      </c>
    </row>
    <row r="54" spans="1:13" ht="12.75">
      <c r="A54">
        <v>2003</v>
      </c>
      <c r="B54" s="176">
        <v>361.75</v>
      </c>
      <c r="C54" s="176">
        <v>362</v>
      </c>
      <c r="D54" s="176">
        <v>363.79</v>
      </c>
      <c r="E54" s="176">
        <v>366.59</v>
      </c>
      <c r="F54" s="176">
        <v>368.72</v>
      </c>
      <c r="G54" s="176">
        <v>369.95</v>
      </c>
      <c r="H54" s="176">
        <v>371.11</v>
      </c>
      <c r="I54" s="176">
        <v>373.8</v>
      </c>
      <c r="J54" s="176">
        <v>376.47</v>
      </c>
      <c r="K54" s="176">
        <v>378.02</v>
      </c>
      <c r="L54" s="176">
        <v>378.29</v>
      </c>
      <c r="M54" s="176">
        <v>378.34</v>
      </c>
    </row>
    <row r="55" spans="1:13" ht="12.75">
      <c r="A55">
        <v>2004</v>
      </c>
      <c r="B55" s="176">
        <v>381.39</v>
      </c>
      <c r="C55" s="176">
        <v>384.03</v>
      </c>
      <c r="D55" s="176">
        <v>385.58</v>
      </c>
      <c r="E55" s="177">
        <v>387.59</v>
      </c>
      <c r="F55" s="177">
        <v>388.38</v>
      </c>
      <c r="G55" s="177">
        <v>387.76</v>
      </c>
      <c r="H55" s="177">
        <v>386.75</v>
      </c>
      <c r="I55" s="177">
        <v>388.57</v>
      </c>
      <c r="J55" s="177">
        <v>388.98</v>
      </c>
      <c r="K55" s="177">
        <v>390.21</v>
      </c>
      <c r="L55" s="177">
        <v>392.26</v>
      </c>
      <c r="M55" s="177">
        <v>394.45</v>
      </c>
    </row>
    <row r="56" spans="2:13" ht="12.75">
      <c r="B56" s="201"/>
      <c r="C56" s="201"/>
      <c r="D56" s="20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2:13" ht="12.75">
      <c r="B57" s="201"/>
      <c r="C57" s="201"/>
      <c r="D57" s="201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2:13" ht="12.75">
      <c r="B58" s="201"/>
      <c r="C58" s="201"/>
      <c r="D58" s="201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2:13" ht="12.75">
      <c r="B59" s="201"/>
      <c r="C59" s="201"/>
      <c r="D59" s="201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2:13" ht="12.75">
      <c r="B60" s="201"/>
      <c r="C60" s="201"/>
      <c r="D60" s="201"/>
      <c r="E60" s="170"/>
      <c r="F60" s="170"/>
      <c r="G60" s="170"/>
      <c r="H60" s="170"/>
      <c r="I60" s="170"/>
      <c r="J60" s="170"/>
      <c r="K60" s="170"/>
      <c r="L60" s="170"/>
      <c r="M60" s="170"/>
    </row>
    <row r="62" spans="1:13" ht="12.75">
      <c r="A62" s="228"/>
      <c r="B62" s="178"/>
      <c r="C62" s="229" t="s">
        <v>349</v>
      </c>
      <c r="D62" s="230"/>
      <c r="E62" s="230"/>
      <c r="F62" s="230"/>
      <c r="G62" s="230"/>
      <c r="H62" s="230"/>
      <c r="I62" s="230"/>
      <c r="J62" s="230"/>
      <c r="K62" s="231"/>
      <c r="L62" s="232"/>
      <c r="M62" s="178"/>
    </row>
    <row r="63" spans="1:13" ht="12.75">
      <c r="A63" s="228"/>
      <c r="B63" s="178" t="s">
        <v>310</v>
      </c>
      <c r="C63" s="178" t="s">
        <v>311</v>
      </c>
      <c r="D63" s="178" t="s">
        <v>312</v>
      </c>
      <c r="E63" s="178" t="s">
        <v>313</v>
      </c>
      <c r="F63" s="178" t="s">
        <v>314</v>
      </c>
      <c r="G63" s="178" t="s">
        <v>315</v>
      </c>
      <c r="H63" s="178" t="s">
        <v>316</v>
      </c>
      <c r="I63" s="178" t="s">
        <v>317</v>
      </c>
      <c r="J63" s="178" t="s">
        <v>351</v>
      </c>
      <c r="K63" s="178" t="s">
        <v>318</v>
      </c>
      <c r="L63" s="178" t="s">
        <v>352</v>
      </c>
      <c r="M63" s="178" t="s">
        <v>353</v>
      </c>
    </row>
    <row r="64" spans="1:13" ht="12.75">
      <c r="A64">
        <v>1994</v>
      </c>
      <c r="B64" s="195">
        <f>((B45/M44)-1)*100</f>
        <v>3.841176788942202</v>
      </c>
      <c r="C64" s="195">
        <f aca="true" t="shared" si="0" ref="C64:C74">((C45/B45)-1)*100</f>
        <v>0.5569323351837019</v>
      </c>
      <c r="D64" s="195">
        <f aca="true" t="shared" si="1" ref="D64:M64">((D45/C45)-1)*100</f>
        <v>3.768018089397196</v>
      </c>
      <c r="E64" s="195">
        <f t="shared" si="1"/>
        <v>-0.334534808371012</v>
      </c>
      <c r="F64" s="195">
        <f t="shared" si="1"/>
        <v>0.29024449638710426</v>
      </c>
      <c r="G64" s="195">
        <f t="shared" si="1"/>
        <v>1.5035816344729502</v>
      </c>
      <c r="H64" s="195">
        <f t="shared" si="1"/>
        <v>0.7307193171729232</v>
      </c>
      <c r="I64" s="195">
        <f t="shared" si="1"/>
        <v>0.1777262025371762</v>
      </c>
      <c r="J64" s="195">
        <f t="shared" si="1"/>
        <v>-0.22061256318761657</v>
      </c>
      <c r="K64" s="195">
        <f t="shared" si="1"/>
        <v>1.2607590467990315</v>
      </c>
      <c r="L64" s="195">
        <f t="shared" si="1"/>
        <v>1.1788363623860043</v>
      </c>
      <c r="M64" s="195">
        <f t="shared" si="1"/>
        <v>1.9888044748774814</v>
      </c>
    </row>
    <row r="65" spans="1:13" ht="12.75">
      <c r="A65">
        <v>1995</v>
      </c>
      <c r="B65" s="195">
        <f aca="true" t="shared" si="2" ref="B65:B74">((B46/M45)-1)*100</f>
        <v>3.4977292961014594</v>
      </c>
      <c r="C65" s="195">
        <f t="shared" si="0"/>
        <v>-0.45521712491769506</v>
      </c>
      <c r="D65" s="195">
        <f aca="true" t="shared" si="3" ref="D65:M65">((D46/C46)-1)*100</f>
        <v>0.00407589111450779</v>
      </c>
      <c r="E65" s="195">
        <f t="shared" si="3"/>
        <v>1.3306150361902302</v>
      </c>
      <c r="F65" s="195">
        <f t="shared" si="3"/>
        <v>0.47722224268029745</v>
      </c>
      <c r="G65" s="195">
        <f t="shared" si="3"/>
        <v>0.7455328580592502</v>
      </c>
      <c r="H65" s="195">
        <f t="shared" si="3"/>
        <v>-2.356231765732464</v>
      </c>
      <c r="I65" s="195">
        <f t="shared" si="3"/>
        <v>0.5674977296607597</v>
      </c>
      <c r="J65" s="195">
        <f t="shared" si="3"/>
        <v>2.1394326137204045</v>
      </c>
      <c r="K65" s="195">
        <f t="shared" si="3"/>
        <v>0.8710623129573491</v>
      </c>
      <c r="L65" s="195">
        <f t="shared" si="3"/>
        <v>-0.4555739134621928</v>
      </c>
      <c r="M65" s="195">
        <f t="shared" si="3"/>
        <v>-3.9164847044593887</v>
      </c>
    </row>
    <row r="66" spans="1:13" ht="12.75">
      <c r="A66">
        <v>1996</v>
      </c>
      <c r="B66" s="195">
        <f t="shared" si="2"/>
        <v>0.4048887363094833</v>
      </c>
      <c r="C66" s="195">
        <f t="shared" si="0"/>
        <v>2.599308313828552</v>
      </c>
      <c r="D66" s="195">
        <f aca="true" t="shared" si="4" ref="D66:M66">((D47/C47)-1)*100</f>
        <v>1.4774329966643185</v>
      </c>
      <c r="E66" s="195">
        <f t="shared" si="4"/>
        <v>-0.6494721883173016</v>
      </c>
      <c r="F66" s="195">
        <f t="shared" si="4"/>
        <v>-0.4514065999195349</v>
      </c>
      <c r="G66" s="195">
        <f t="shared" si="4"/>
        <v>0.8496598216895412</v>
      </c>
      <c r="H66" s="195">
        <f t="shared" si="4"/>
        <v>1.0880382676657696</v>
      </c>
      <c r="I66" s="195">
        <f t="shared" si="4"/>
        <v>0.7457286472369207</v>
      </c>
      <c r="J66" s="195">
        <f t="shared" si="4"/>
        <v>-0.7268684940291203</v>
      </c>
      <c r="K66" s="195">
        <f t="shared" si="4"/>
        <v>2.290686238910866</v>
      </c>
      <c r="L66" s="195">
        <f t="shared" si="4"/>
        <v>0.3491291136354935</v>
      </c>
      <c r="M66" s="195">
        <f t="shared" si="4"/>
        <v>-2.0337051375510784</v>
      </c>
    </row>
    <row r="67" spans="1:13" ht="12.75">
      <c r="A67">
        <v>1997</v>
      </c>
      <c r="B67" s="195">
        <f t="shared" si="2"/>
        <v>0.32979267425627956</v>
      </c>
      <c r="C67" s="195">
        <f t="shared" si="0"/>
        <v>1.648781009615674</v>
      </c>
      <c r="D67" s="195">
        <f aca="true" t="shared" si="5" ref="D67:M67">((D48/C48)-1)*100</f>
        <v>-0.09994101040980974</v>
      </c>
      <c r="E67" s="195">
        <f t="shared" si="5"/>
        <v>1.0949837725224842</v>
      </c>
      <c r="F67" s="195">
        <f t="shared" si="5"/>
        <v>-0.614706207259208</v>
      </c>
      <c r="G67" s="195">
        <f t="shared" si="5"/>
        <v>0.09761254454476731</v>
      </c>
      <c r="H67" s="195">
        <f t="shared" si="5"/>
        <v>0.7997459900084936</v>
      </c>
      <c r="I67" s="195">
        <f t="shared" si="5"/>
        <v>-0.02635865056674902</v>
      </c>
      <c r="J67" s="195">
        <f t="shared" si="5"/>
        <v>0.23481299745173878</v>
      </c>
      <c r="K67" s="195">
        <f t="shared" si="5"/>
        <v>1.593542422616756</v>
      </c>
      <c r="L67" s="195">
        <f t="shared" si="5"/>
        <v>-0.22319345089613085</v>
      </c>
      <c r="M67" s="195">
        <f t="shared" si="5"/>
        <v>-0.5297157627681126</v>
      </c>
    </row>
    <row r="68" spans="1:13" ht="12.75">
      <c r="A68">
        <v>1998</v>
      </c>
      <c r="B68" s="195">
        <f t="shared" si="2"/>
        <v>-0.08043343676422676</v>
      </c>
      <c r="C68" s="195">
        <f t="shared" si="0"/>
        <v>0.18547846485681418</v>
      </c>
      <c r="D68" s="195">
        <f aca="true" t="shared" si="6" ref="D68:M68">((D49/C49)-1)*100</f>
        <v>1.3715799139414342</v>
      </c>
      <c r="E68" s="195">
        <f t="shared" si="6"/>
        <v>0.5290423791638244</v>
      </c>
      <c r="F68" s="195">
        <f t="shared" si="6"/>
        <v>-4.0207553078317915</v>
      </c>
      <c r="G68" s="195">
        <f t="shared" si="6"/>
        <v>0.29008979008120495</v>
      </c>
      <c r="H68" s="195">
        <f t="shared" si="6"/>
        <v>-0.3698648000507454</v>
      </c>
      <c r="I68" s="195">
        <f t="shared" si="6"/>
        <v>0.6954542430092081</v>
      </c>
      <c r="J68" s="195">
        <f t="shared" si="6"/>
        <v>1.1740694624080783</v>
      </c>
      <c r="K68" s="195">
        <f t="shared" si="6"/>
        <v>-5.515171289015308</v>
      </c>
      <c r="L68" s="195">
        <f t="shared" si="6"/>
        <v>-6.860535257450806</v>
      </c>
      <c r="M68" s="195">
        <f t="shared" si="6"/>
        <v>5.367429289439918</v>
      </c>
    </row>
    <row r="69" spans="1:13" ht="12.75">
      <c r="A69">
        <v>1999</v>
      </c>
      <c r="B69" s="195">
        <f t="shared" si="2"/>
        <v>-0.7953712353938269</v>
      </c>
      <c r="C69" s="195">
        <f t="shared" si="0"/>
        <v>-3.2792335767495406</v>
      </c>
      <c r="D69" s="195">
        <f aca="true" t="shared" si="7" ref="D69:M69">((D50/C50)-1)*100</f>
        <v>-3.7516151527108854</v>
      </c>
      <c r="E69" s="195">
        <f t="shared" si="7"/>
        <v>-15.069027564733517</v>
      </c>
      <c r="F69" s="195">
        <f t="shared" si="7"/>
        <v>17.563249151877812</v>
      </c>
      <c r="G69" s="195">
        <f t="shared" si="7"/>
        <v>-1.1309521855504934</v>
      </c>
      <c r="H69" s="195">
        <f t="shared" si="7"/>
        <v>-16.732626610519365</v>
      </c>
      <c r="I69" s="195">
        <f t="shared" si="7"/>
        <v>-1.0399582324087997</v>
      </c>
      <c r="J69" s="195">
        <f t="shared" si="7"/>
        <v>6.79878517637027</v>
      </c>
      <c r="K69" s="195">
        <f t="shared" si="7"/>
        <v>-11.598992543321451</v>
      </c>
      <c r="L69" s="195">
        <f t="shared" si="7"/>
        <v>-14.555589307453577</v>
      </c>
      <c r="M69" s="195">
        <f t="shared" si="7"/>
        <v>-1.3823384616188705</v>
      </c>
    </row>
    <row r="70" spans="1:13" ht="12.75">
      <c r="A70">
        <v>2000</v>
      </c>
      <c r="B70" s="195">
        <f t="shared" si="2"/>
        <v>0.05050315374039993</v>
      </c>
      <c r="C70" s="195">
        <f t="shared" si="0"/>
        <v>-12.82551357438484</v>
      </c>
      <c r="D70" s="195">
        <f aca="true" t="shared" si="8" ref="D70:M70">((D51/C51)-1)*100</f>
        <v>10.269627352529032</v>
      </c>
      <c r="E70" s="195">
        <f t="shared" si="8"/>
        <v>13.09233853940972</v>
      </c>
      <c r="F70" s="195">
        <f t="shared" si="8"/>
        <v>6.328468467763093</v>
      </c>
      <c r="G70" s="199">
        <f t="shared" si="8"/>
        <v>5.377747545660361</v>
      </c>
      <c r="H70" s="199">
        <f t="shared" si="8"/>
        <v>-17.60445479691367</v>
      </c>
      <c r="I70" s="199">
        <f t="shared" si="8"/>
        <v>1.3560669640885203</v>
      </c>
      <c r="J70" s="199">
        <f t="shared" si="8"/>
        <v>3.8336150791759005</v>
      </c>
      <c r="K70" s="199">
        <f t="shared" si="8"/>
        <v>2.481940274763761</v>
      </c>
      <c r="L70" s="199">
        <f t="shared" si="8"/>
        <v>1.6095343408281115</v>
      </c>
      <c r="M70" s="199">
        <f t="shared" si="8"/>
        <v>1.946795646916577</v>
      </c>
    </row>
    <row r="71" spans="1:13" ht="12.75">
      <c r="A71">
        <v>2001</v>
      </c>
      <c r="B71" s="195">
        <f t="shared" si="2"/>
        <v>6.657968607915232</v>
      </c>
      <c r="C71" s="199">
        <f t="shared" si="0"/>
        <v>3.058160655373099</v>
      </c>
      <c r="D71" s="199">
        <f aca="true" t="shared" si="9" ref="D71:M71">((D52/C52)-1)*100</f>
        <v>2.24084598230343</v>
      </c>
      <c r="E71" s="199">
        <f t="shared" si="9"/>
        <v>1.4775725593667577</v>
      </c>
      <c r="F71" s="199">
        <f t="shared" si="9"/>
        <v>-0.23574276304385577</v>
      </c>
      <c r="G71" s="199">
        <f t="shared" si="9"/>
        <v>0.35444973416272063</v>
      </c>
      <c r="H71" s="199">
        <f t="shared" si="9"/>
        <v>0.6475293465840304</v>
      </c>
      <c r="I71" s="199">
        <f t="shared" si="9"/>
        <v>0.7947429986926213</v>
      </c>
      <c r="J71" s="199">
        <f t="shared" si="9"/>
        <v>2.201590606546744</v>
      </c>
      <c r="K71" s="199">
        <f t="shared" si="9"/>
        <v>1.5496626811836167</v>
      </c>
      <c r="L71" s="199">
        <f t="shared" si="9"/>
        <v>2.022627113069775</v>
      </c>
      <c r="M71" s="199">
        <f t="shared" si="9"/>
        <v>1.0799136069114645</v>
      </c>
    </row>
    <row r="72" spans="1:13" ht="12.75">
      <c r="A72">
        <v>2002</v>
      </c>
      <c r="B72" s="195">
        <f t="shared" si="2"/>
        <v>1.782752902155882</v>
      </c>
      <c r="C72" s="199">
        <f t="shared" si="0"/>
        <v>1.2627291242362615</v>
      </c>
      <c r="D72" s="199">
        <f aca="true" t="shared" si="10" ref="D72:M72">((D53/C53)-1)*100</f>
        <v>1.2872083668543643</v>
      </c>
      <c r="E72" s="199">
        <f t="shared" si="10"/>
        <v>0.9073134966701479</v>
      </c>
      <c r="F72" s="199">
        <f t="shared" si="10"/>
        <v>0.9112651751385092</v>
      </c>
      <c r="G72" s="199">
        <f t="shared" si="10"/>
        <v>0.21900876035041428</v>
      </c>
      <c r="H72" s="199">
        <f t="shared" si="10"/>
        <v>0.6705582996557435</v>
      </c>
      <c r="I72" s="199">
        <f t="shared" si="10"/>
        <v>1.076451871896289</v>
      </c>
      <c r="J72" s="199">
        <f t="shared" si="10"/>
        <v>0.3853961342708434</v>
      </c>
      <c r="K72" s="199">
        <f t="shared" si="10"/>
        <v>1.441885000879184</v>
      </c>
      <c r="L72" s="199">
        <f t="shared" si="10"/>
        <v>1.539839371352647</v>
      </c>
      <c r="M72" s="199">
        <f t="shared" si="10"/>
        <v>0.5035991692036168</v>
      </c>
    </row>
    <row r="73" spans="1:13" ht="12.75">
      <c r="A73">
        <v>2003</v>
      </c>
      <c r="B73" s="195">
        <f t="shared" si="2"/>
        <v>2.409126939191486</v>
      </c>
      <c r="C73" s="199">
        <f t="shared" si="0"/>
        <v>0.06910850034553828</v>
      </c>
      <c r="D73" s="199">
        <f aca="true" t="shared" si="11" ref="D73:M74">((D54/C54)-1)*100</f>
        <v>0.49447513812155286</v>
      </c>
      <c r="E73" s="199">
        <f t="shared" si="11"/>
        <v>0.7696748123917629</v>
      </c>
      <c r="F73" s="199">
        <f t="shared" si="11"/>
        <v>0.5810305791211112</v>
      </c>
      <c r="G73" s="199">
        <f t="shared" si="11"/>
        <v>0.3335864612714179</v>
      </c>
      <c r="H73" s="199">
        <f t="shared" si="11"/>
        <v>0.31355588593053874</v>
      </c>
      <c r="I73" s="199">
        <f t="shared" si="11"/>
        <v>0.7248524696181757</v>
      </c>
      <c r="J73" s="199">
        <f t="shared" si="11"/>
        <v>0.7142857142857117</v>
      </c>
      <c r="K73" s="199">
        <f t="shared" si="11"/>
        <v>0.4117193933115493</v>
      </c>
      <c r="L73" s="199">
        <f t="shared" si="11"/>
        <v>0.07142479233903654</v>
      </c>
      <c r="M73" s="199">
        <f t="shared" si="11"/>
        <v>0.013217372914953174</v>
      </c>
    </row>
    <row r="74" spans="1:13" ht="12.75">
      <c r="A74">
        <v>2004</v>
      </c>
      <c r="B74" s="195">
        <f t="shared" si="2"/>
        <v>0.806153195538406</v>
      </c>
      <c r="C74" s="199">
        <f t="shared" si="0"/>
        <v>0.6922048297018701</v>
      </c>
      <c r="D74" s="199">
        <f t="shared" si="11"/>
        <v>0.40361430096607087</v>
      </c>
      <c r="E74" s="199">
        <f t="shared" si="11"/>
        <v>0.5212925981638028</v>
      </c>
      <c r="F74" s="199">
        <f t="shared" si="11"/>
        <v>0.2038236280605954</v>
      </c>
      <c r="G74" s="199">
        <f t="shared" si="11"/>
        <v>-0.15963746845872873</v>
      </c>
      <c r="H74" s="199">
        <f t="shared" si="11"/>
        <v>-0.2604703940581765</v>
      </c>
      <c r="I74" s="199">
        <f t="shared" si="11"/>
        <v>0.47058823529411153</v>
      </c>
      <c r="J74" s="199"/>
      <c r="K74" s="178"/>
      <c r="L74" s="178"/>
      <c r="M74" s="178"/>
    </row>
    <row r="78" spans="1:13" ht="12.75">
      <c r="A78" s="226"/>
      <c r="B78" s="178"/>
      <c r="C78" s="234" t="s">
        <v>350</v>
      </c>
      <c r="D78" s="234"/>
      <c r="E78" s="234"/>
      <c r="F78" s="234"/>
      <c r="G78" s="234"/>
      <c r="H78" s="234"/>
      <c r="I78" s="234"/>
      <c r="J78" s="234"/>
      <c r="K78" s="234"/>
      <c r="L78" s="234"/>
      <c r="M78" s="178"/>
    </row>
    <row r="79" spans="1:13" ht="12.75">
      <c r="A79" s="227"/>
      <c r="B79" s="200" t="s">
        <v>310</v>
      </c>
      <c r="C79" s="200" t="s">
        <v>311</v>
      </c>
      <c r="D79" s="200" t="s">
        <v>312</v>
      </c>
      <c r="E79" s="200" t="s">
        <v>313</v>
      </c>
      <c r="F79" s="200" t="s">
        <v>314</v>
      </c>
      <c r="G79" s="200" t="s">
        <v>315</v>
      </c>
      <c r="H79" s="200" t="s">
        <v>316</v>
      </c>
      <c r="I79" s="200" t="s">
        <v>317</v>
      </c>
      <c r="J79" s="200" t="s">
        <v>351</v>
      </c>
      <c r="K79" s="200" t="s">
        <v>318</v>
      </c>
      <c r="L79" s="200" t="s">
        <v>352</v>
      </c>
      <c r="M79" s="200" t="s">
        <v>353</v>
      </c>
    </row>
    <row r="80" spans="1:13" ht="12.75">
      <c r="A80" s="178">
        <v>1995</v>
      </c>
      <c r="B80" s="195">
        <f>((B46/B45)-1)*100</f>
        <v>15.278525621774364</v>
      </c>
      <c r="C80" s="195">
        <f>((C46/C45)-1)*100</f>
        <v>14.118196892965894</v>
      </c>
      <c r="D80" s="195">
        <f aca="true" t="shared" si="12" ref="D80:M80">((D46/D45)-1)*100</f>
        <v>9.978826162117805</v>
      </c>
      <c r="E80" s="195">
        <f t="shared" si="12"/>
        <v>11.8162853555984</v>
      </c>
      <c r="F80" s="195">
        <f t="shared" si="12"/>
        <v>12.024751863379436</v>
      </c>
      <c r="G80" s="195">
        <f t="shared" si="12"/>
        <v>11.188128911650574</v>
      </c>
      <c r="H80" s="195">
        <f t="shared" si="12"/>
        <v>7.780704470757827</v>
      </c>
      <c r="I80" s="195">
        <f t="shared" si="12"/>
        <v>8.200057668005378</v>
      </c>
      <c r="J80" s="195">
        <f t="shared" si="12"/>
        <v>10.759273862855823</v>
      </c>
      <c r="K80" s="195">
        <f t="shared" si="12"/>
        <v>10.333022591649321</v>
      </c>
      <c r="L80" s="195">
        <f t="shared" si="12"/>
        <v>8.550738545178294</v>
      </c>
      <c r="M80" s="195">
        <f t="shared" si="12"/>
        <v>2.265504542873975</v>
      </c>
    </row>
    <row r="81" spans="1:13" ht="12.75">
      <c r="A81" s="178">
        <v>1996</v>
      </c>
      <c r="B81" s="195">
        <f aca="true" t="shared" si="13" ref="B81:M89">((B47/B46)-1)*100</f>
        <v>-0.79051323132181</v>
      </c>
      <c r="C81" s="195">
        <f t="shared" si="13"/>
        <v>2.253723667362939</v>
      </c>
      <c r="D81" s="195">
        <f t="shared" si="13"/>
        <v>3.7602247673608202</v>
      </c>
      <c r="E81" s="195">
        <f t="shared" si="13"/>
        <v>1.7326608825417589</v>
      </c>
      <c r="F81" s="195">
        <f t="shared" si="13"/>
        <v>0.7924290466956085</v>
      </c>
      <c r="G81" s="195">
        <f t="shared" si="13"/>
        <v>0.896604480541785</v>
      </c>
      <c r="H81" s="195">
        <f t="shared" si="13"/>
        <v>4.45561451844001</v>
      </c>
      <c r="I81" s="195">
        <f t="shared" si="13"/>
        <v>4.640736157556913</v>
      </c>
      <c r="J81" s="195">
        <f t="shared" si="13"/>
        <v>1.7042418938924664</v>
      </c>
      <c r="K81" s="195">
        <f t="shared" si="13"/>
        <v>3.135591696827844</v>
      </c>
      <c r="L81" s="195">
        <f t="shared" si="13"/>
        <v>3.969325197564455</v>
      </c>
      <c r="M81" s="195">
        <f t="shared" si="13"/>
        <v>6.006629104120265</v>
      </c>
    </row>
    <row r="82" spans="1:13" ht="12.75">
      <c r="A82" s="178">
        <v>1997</v>
      </c>
      <c r="B82" s="195">
        <f t="shared" si="13"/>
        <v>5.9273433193597125</v>
      </c>
      <c r="C82" s="195">
        <f t="shared" si="13"/>
        <v>4.945983564186651</v>
      </c>
      <c r="D82" s="195">
        <f t="shared" si="13"/>
        <v>3.314694106693006</v>
      </c>
      <c r="E82" s="195">
        <f t="shared" si="13"/>
        <v>5.1287552691900995</v>
      </c>
      <c r="F82" s="195">
        <f t="shared" si="13"/>
        <v>4.9563019590104895</v>
      </c>
      <c r="G82" s="195">
        <f t="shared" si="13"/>
        <v>4.1736309887066225</v>
      </c>
      <c r="H82" s="195">
        <f t="shared" si="13"/>
        <v>3.876538930494511</v>
      </c>
      <c r="I82" s="195">
        <f t="shared" si="13"/>
        <v>3.0804579717784275</v>
      </c>
      <c r="J82" s="195">
        <f t="shared" si="13"/>
        <v>4.079021904043123</v>
      </c>
      <c r="K82" s="195">
        <f t="shared" si="13"/>
        <v>3.3696900069349445</v>
      </c>
      <c r="L82" s="195">
        <f t="shared" si="13"/>
        <v>2.7801402360284833</v>
      </c>
      <c r="M82" s="195">
        <f t="shared" si="13"/>
        <v>4.358032296463477</v>
      </c>
    </row>
    <row r="83" spans="1:13" ht="12.75">
      <c r="A83" s="178">
        <v>1998</v>
      </c>
      <c r="B83" s="195">
        <f t="shared" si="13"/>
        <v>3.9313356134380806</v>
      </c>
      <c r="C83" s="195">
        <f t="shared" si="13"/>
        <v>2.4351741605137756</v>
      </c>
      <c r="D83" s="195">
        <f t="shared" si="13"/>
        <v>3.9440371551038744</v>
      </c>
      <c r="E83" s="195">
        <f t="shared" si="13"/>
        <v>3.36214643190782</v>
      </c>
      <c r="F83" s="195">
        <f t="shared" si="13"/>
        <v>-0.18019401356929032</v>
      </c>
      <c r="G83" s="195">
        <f t="shared" si="13"/>
        <v>0.011749038995523264</v>
      </c>
      <c r="H83" s="195">
        <f t="shared" si="13"/>
        <v>-1.1487183774630316</v>
      </c>
      <c r="I83" s="195">
        <f t="shared" si="13"/>
        <v>-0.435008957074301</v>
      </c>
      <c r="J83" s="195">
        <f t="shared" si="13"/>
        <v>0.49797090016119316</v>
      </c>
      <c r="K83" s="195">
        <f t="shared" si="13"/>
        <v>-6.534083369167398</v>
      </c>
      <c r="L83" s="195">
        <f t="shared" si="13"/>
        <v>-12.751612847187666</v>
      </c>
      <c r="M83" s="195">
        <f t="shared" si="13"/>
        <v>-7.579049015116568</v>
      </c>
    </row>
    <row r="84" spans="1:13" ht="12.75">
      <c r="A84" s="178">
        <v>1999</v>
      </c>
      <c r="B84" s="195">
        <f t="shared" si="13"/>
        <v>-8.240333221174135</v>
      </c>
      <c r="C84" s="195">
        <f t="shared" si="13"/>
        <v>-11.413655615735596</v>
      </c>
      <c r="D84" s="195">
        <f t="shared" si="13"/>
        <v>-15.890700591334427</v>
      </c>
      <c r="E84" s="195">
        <f t="shared" si="13"/>
        <v>-28.9410858736326</v>
      </c>
      <c r="F84" s="195">
        <f t="shared" si="13"/>
        <v>-12.961215180497343</v>
      </c>
      <c r="G84" s="195">
        <f t="shared" si="13"/>
        <v>-14.19449522836026</v>
      </c>
      <c r="H84" s="195">
        <f t="shared" si="13"/>
        <v>-28.286767950741197</v>
      </c>
      <c r="I84" s="195">
        <f t="shared" si="13"/>
        <v>-29.52269303282573</v>
      </c>
      <c r="J84" s="195">
        <f t="shared" si="13"/>
        <v>-25.604546633433422</v>
      </c>
      <c r="K84" s="195">
        <f t="shared" si="13"/>
        <v>-30.394825100251865</v>
      </c>
      <c r="L84" s="195">
        <f t="shared" si="13"/>
        <v>-36.145508599389174</v>
      </c>
      <c r="M84" s="195">
        <f t="shared" si="13"/>
        <v>-40.23598503715209</v>
      </c>
    </row>
    <row r="85" spans="1:13" ht="12.75">
      <c r="A85" s="178">
        <v>2000</v>
      </c>
      <c r="B85" s="195">
        <f t="shared" si="13"/>
        <v>-39.72640347550076</v>
      </c>
      <c r="C85" s="195">
        <f t="shared" si="13"/>
        <v>-45.67537028134123</v>
      </c>
      <c r="D85" s="195">
        <f t="shared" si="13"/>
        <v>-37.76148363793196</v>
      </c>
      <c r="E85" s="195">
        <f t="shared" si="13"/>
        <v>-17.124469898488282</v>
      </c>
      <c r="F85" s="195">
        <f t="shared" si="13"/>
        <v>-25.044363330213503</v>
      </c>
      <c r="G85" s="199">
        <f t="shared" si="13"/>
        <v>-20.10991981093366</v>
      </c>
      <c r="H85" s="199">
        <f t="shared" si="13"/>
        <v>-20.946386975525755</v>
      </c>
      <c r="I85" s="199">
        <f t="shared" si="13"/>
        <v>-19.032337170194914</v>
      </c>
      <c r="J85" s="199">
        <f t="shared" si="13"/>
        <v>-21.28032990031984</v>
      </c>
      <c r="K85" s="199">
        <f t="shared" si="13"/>
        <v>-8.741486531610166</v>
      </c>
      <c r="L85" s="199">
        <f t="shared" si="13"/>
        <v>8.52360011616502</v>
      </c>
      <c r="M85" s="199">
        <f t="shared" si="13"/>
        <v>12.187138807834108</v>
      </c>
    </row>
    <row r="86" spans="1:13" ht="12.75">
      <c r="A86" s="178">
        <v>2001</v>
      </c>
      <c r="B86" s="199">
        <f t="shared" si="13"/>
        <v>19.59612347767048</v>
      </c>
      <c r="C86" s="199">
        <f t="shared" si="13"/>
        <v>41.38719954075858</v>
      </c>
      <c r="D86" s="199">
        <f t="shared" si="13"/>
        <v>31.092733685422825</v>
      </c>
      <c r="E86" s="199">
        <f t="shared" si="13"/>
        <v>17.62929802651927</v>
      </c>
      <c r="F86" s="199">
        <f t="shared" si="13"/>
        <v>10.367427613971048</v>
      </c>
      <c r="G86" s="199">
        <f t="shared" si="13"/>
        <v>5.106274566894764</v>
      </c>
      <c r="H86" s="199">
        <f t="shared" si="13"/>
        <v>28.389063121162607</v>
      </c>
      <c r="I86" s="199">
        <f t="shared" si="13"/>
        <v>27.67802667131527</v>
      </c>
      <c r="J86" s="199">
        <f t="shared" si="13"/>
        <v>25.671223152188105</v>
      </c>
      <c r="K86" s="199">
        <f t="shared" si="13"/>
        <v>24.527992791907295</v>
      </c>
      <c r="L86" s="199">
        <f t="shared" si="13"/>
        <v>25.03426037887948</v>
      </c>
      <c r="M86" s="199">
        <f t="shared" si="13"/>
        <v>23.97105918633613</v>
      </c>
    </row>
    <row r="87" spans="1:13" ht="12.75">
      <c r="A87" s="178">
        <v>2002</v>
      </c>
      <c r="B87" s="199">
        <f t="shared" si="13"/>
        <v>18.304481595433142</v>
      </c>
      <c r="C87" s="199">
        <f t="shared" si="13"/>
        <v>16.24343572404865</v>
      </c>
      <c r="D87" s="199">
        <f t="shared" si="13"/>
        <v>15.15919085312225</v>
      </c>
      <c r="E87" s="199">
        <f t="shared" si="13"/>
        <v>14.51204714855261</v>
      </c>
      <c r="F87" s="199">
        <f t="shared" si="13"/>
        <v>15.828613128540159</v>
      </c>
      <c r="G87" s="199">
        <f t="shared" si="13"/>
        <v>15.672287821600461</v>
      </c>
      <c r="H87" s="199">
        <f t="shared" si="13"/>
        <v>15.6987545585908</v>
      </c>
      <c r="I87" s="199">
        <f t="shared" si="13"/>
        <v>16.022118305628563</v>
      </c>
      <c r="J87" s="199">
        <f t="shared" si="13"/>
        <v>13.960323291697275</v>
      </c>
      <c r="K87" s="199">
        <f t="shared" si="13"/>
        <v>13.839373807801092</v>
      </c>
      <c r="L87" s="199">
        <f t="shared" si="13"/>
        <v>13.300667289900403</v>
      </c>
      <c r="M87" s="199">
        <f t="shared" si="13"/>
        <v>12.654675341242516</v>
      </c>
    </row>
    <row r="88" spans="1:13" ht="12.75">
      <c r="A88" s="178">
        <v>2003</v>
      </c>
      <c r="B88" s="199">
        <f t="shared" si="13"/>
        <v>13.34795550681498</v>
      </c>
      <c r="C88" s="199">
        <f t="shared" si="13"/>
        <v>12.011881923386337</v>
      </c>
      <c r="D88" s="199">
        <f t="shared" si="13"/>
        <v>11.135211095497045</v>
      </c>
      <c r="E88" s="199">
        <f t="shared" si="13"/>
        <v>10.98362144651992</v>
      </c>
      <c r="F88" s="199">
        <f t="shared" si="13"/>
        <v>10.62042481699268</v>
      </c>
      <c r="G88" s="199">
        <f t="shared" si="13"/>
        <v>10.746894177518328</v>
      </c>
      <c r="H88" s="199">
        <f t="shared" si="13"/>
        <v>10.354158613101783</v>
      </c>
      <c r="I88" s="199">
        <f t="shared" si="13"/>
        <v>9.970286252243232</v>
      </c>
      <c r="J88" s="199">
        <f t="shared" si="13"/>
        <v>10.330578512396693</v>
      </c>
      <c r="K88" s="199">
        <f t="shared" si="13"/>
        <v>9.210146183625124</v>
      </c>
      <c r="L88" s="199">
        <f t="shared" si="13"/>
        <v>7.630807750305846</v>
      </c>
      <c r="M88" s="199">
        <f t="shared" si="13"/>
        <v>7.10565054920167</v>
      </c>
    </row>
    <row r="89" spans="1:13" ht="12.75">
      <c r="A89" s="178">
        <v>2004</v>
      </c>
      <c r="B89" s="199">
        <f t="shared" si="13"/>
        <v>5.429163787145819</v>
      </c>
      <c r="C89" s="199">
        <f t="shared" si="13"/>
        <v>6.085635359116015</v>
      </c>
      <c r="D89" s="199">
        <f t="shared" si="13"/>
        <v>5.989719343577327</v>
      </c>
      <c r="E89" s="199">
        <f t="shared" si="13"/>
        <v>5.728470498376925</v>
      </c>
      <c r="F89" s="199">
        <f t="shared" si="13"/>
        <v>5.331959210240833</v>
      </c>
      <c r="G89" s="199">
        <f t="shared" si="13"/>
        <v>4.814164076226524</v>
      </c>
      <c r="H89" s="199">
        <f t="shared" si="13"/>
        <v>4.214383875400829</v>
      </c>
      <c r="I89" s="199">
        <f t="shared" si="13"/>
        <v>3.9513108614232184</v>
      </c>
      <c r="J89" s="199"/>
      <c r="K89" s="199"/>
      <c r="L89" s="199"/>
      <c r="M89" s="199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184"/>
      <c r="C2" s="233" t="s">
        <v>354</v>
      </c>
      <c r="D2" s="233"/>
      <c r="E2" s="233"/>
      <c r="F2" s="233"/>
      <c r="G2" s="233"/>
      <c r="H2" s="233"/>
      <c r="I2" s="233"/>
      <c r="J2" s="233"/>
      <c r="K2" s="233"/>
      <c r="L2" s="233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79" t="s">
        <v>310</v>
      </c>
      <c r="C4" s="179" t="s">
        <v>311</v>
      </c>
      <c r="D4" s="179" t="s">
        <v>312</v>
      </c>
      <c r="E4" s="179" t="s">
        <v>313</v>
      </c>
      <c r="F4" s="179" t="s">
        <v>314</v>
      </c>
      <c r="G4" s="179" t="s">
        <v>315</v>
      </c>
      <c r="H4" s="179" t="s">
        <v>316</v>
      </c>
      <c r="I4" s="179" t="s">
        <v>317</v>
      </c>
      <c r="J4" s="179" t="s">
        <v>319</v>
      </c>
      <c r="K4" s="179" t="s">
        <v>318</v>
      </c>
      <c r="L4" s="179" t="s">
        <v>320</v>
      </c>
      <c r="M4" s="179" t="s">
        <v>321</v>
      </c>
    </row>
    <row r="5" spans="1:13" ht="12.75">
      <c r="A5" s="20" t="s">
        <v>309</v>
      </c>
      <c r="B5" s="180"/>
      <c r="C5" s="180"/>
      <c r="D5" s="180"/>
      <c r="E5" s="180"/>
      <c r="F5" s="180"/>
      <c r="G5" s="178"/>
      <c r="H5" s="178"/>
      <c r="I5" s="178"/>
      <c r="J5" s="180"/>
      <c r="K5" s="180"/>
      <c r="L5" s="180"/>
      <c r="M5" s="180"/>
    </row>
    <row r="6" spans="1:13" ht="12.75">
      <c r="A6">
        <v>1992</v>
      </c>
      <c r="B6" s="186"/>
      <c r="C6" s="186"/>
      <c r="D6" s="186"/>
      <c r="E6" s="186"/>
      <c r="F6" s="186"/>
      <c r="G6" s="187"/>
      <c r="H6" s="186"/>
      <c r="I6" s="186"/>
      <c r="J6" s="186"/>
      <c r="K6" s="186"/>
      <c r="L6" s="186"/>
      <c r="M6" s="188">
        <v>207968.61</v>
      </c>
    </row>
    <row r="7" spans="1:13" ht="12.75">
      <c r="A7">
        <v>1993</v>
      </c>
      <c r="B7" s="202">
        <v>215069.54</v>
      </c>
      <c r="C7" s="188">
        <v>220242.63</v>
      </c>
      <c r="D7" s="188">
        <v>225131.64</v>
      </c>
      <c r="E7" s="188">
        <v>231761.67</v>
      </c>
      <c r="F7" s="188">
        <v>237208.88</v>
      </c>
      <c r="G7" s="188">
        <v>245370.04</v>
      </c>
      <c r="H7" s="188">
        <v>250509.35</v>
      </c>
      <c r="I7" s="188">
        <v>254060.91</v>
      </c>
      <c r="J7" s="188">
        <v>260889.13</v>
      </c>
      <c r="K7" s="188">
        <v>271181.06</v>
      </c>
      <c r="L7" s="188">
        <v>275275.76</v>
      </c>
      <c r="M7" s="188">
        <v>276856.59</v>
      </c>
    </row>
    <row r="8" spans="1:13" ht="12.75">
      <c r="A8">
        <v>1994</v>
      </c>
      <c r="B8" s="188">
        <v>287251.46</v>
      </c>
      <c r="C8" s="188">
        <v>295223.46</v>
      </c>
      <c r="D8" s="188">
        <v>303882.54</v>
      </c>
      <c r="E8" s="189">
        <v>314116.85</v>
      </c>
      <c r="F8" s="189">
        <v>319028.81</v>
      </c>
      <c r="G8" s="189">
        <v>324996.82</v>
      </c>
      <c r="H8" s="189">
        <v>330405.33</v>
      </c>
      <c r="I8" s="189">
        <v>335226.9</v>
      </c>
      <c r="J8" s="189">
        <v>341249.29</v>
      </c>
      <c r="K8" s="189">
        <v>347395.38</v>
      </c>
      <c r="L8" s="189">
        <v>353051.84</v>
      </c>
      <c r="M8" s="190">
        <v>359985.49</v>
      </c>
    </row>
    <row r="9" spans="1:13" ht="12.75">
      <c r="A9">
        <v>1995</v>
      </c>
      <c r="B9" s="190">
        <v>377226.17</v>
      </c>
      <c r="C9" s="190">
        <v>382600.51</v>
      </c>
      <c r="D9" s="190">
        <v>390324.09</v>
      </c>
      <c r="E9" s="190">
        <v>398637.99</v>
      </c>
      <c r="F9" s="190">
        <v>404694.93</v>
      </c>
      <c r="G9" s="190">
        <v>409976.78</v>
      </c>
      <c r="H9" s="190">
        <v>414429.5</v>
      </c>
      <c r="I9" s="190">
        <v>419046.77</v>
      </c>
      <c r="J9" s="190">
        <v>433794.73</v>
      </c>
      <c r="K9" s="190">
        <v>442726.61</v>
      </c>
      <c r="L9" s="190">
        <v>449527</v>
      </c>
      <c r="M9" s="190">
        <v>456963</v>
      </c>
    </row>
    <row r="10" spans="1:13" ht="12.75">
      <c r="A10">
        <v>1996</v>
      </c>
      <c r="B10" s="190">
        <v>468532</v>
      </c>
      <c r="C10" s="190">
        <v>484249</v>
      </c>
      <c r="D10" s="190">
        <v>497703</v>
      </c>
      <c r="E10" s="190">
        <v>509514</v>
      </c>
      <c r="F10" s="190">
        <v>511173</v>
      </c>
      <c r="G10" s="190">
        <v>519219</v>
      </c>
      <c r="H10" s="190">
        <v>530254</v>
      </c>
      <c r="I10" s="190">
        <v>542387</v>
      </c>
      <c r="J10" s="190">
        <v>555064</v>
      </c>
      <c r="K10" s="190">
        <v>570760</v>
      </c>
      <c r="L10" s="190">
        <v>579442</v>
      </c>
      <c r="M10" s="190">
        <v>591176</v>
      </c>
    </row>
    <row r="11" spans="1:13" ht="12.75">
      <c r="A11">
        <v>1997</v>
      </c>
      <c r="B11" s="190">
        <v>641468</v>
      </c>
      <c r="C11" s="190">
        <v>660399</v>
      </c>
      <c r="D11" s="190">
        <v>666432</v>
      </c>
      <c r="E11" s="190">
        <v>682637</v>
      </c>
      <c r="F11" s="190">
        <v>689870</v>
      </c>
      <c r="G11" s="190">
        <v>698981</v>
      </c>
      <c r="H11" s="190">
        <v>716584</v>
      </c>
      <c r="I11" s="190">
        <v>729039</v>
      </c>
      <c r="J11" s="190">
        <v>743440</v>
      </c>
      <c r="K11" s="190">
        <v>762458</v>
      </c>
      <c r="L11" s="190">
        <v>754072</v>
      </c>
      <c r="M11" s="190">
        <v>764800</v>
      </c>
    </row>
    <row r="12" spans="1:13" ht="12.75">
      <c r="A12">
        <v>1998</v>
      </c>
      <c r="B12" s="190">
        <v>789935</v>
      </c>
      <c r="C12" s="190">
        <v>802246</v>
      </c>
      <c r="D12" s="190">
        <v>819917</v>
      </c>
      <c r="E12" s="190">
        <v>865666</v>
      </c>
      <c r="F12" s="190">
        <v>885865</v>
      </c>
      <c r="G12" s="190">
        <v>929528</v>
      </c>
      <c r="H12" s="190">
        <v>929234</v>
      </c>
      <c r="I12" s="190">
        <v>940489</v>
      </c>
      <c r="J12" s="190">
        <v>1002420</v>
      </c>
      <c r="K12" s="190">
        <v>1064572</v>
      </c>
      <c r="L12" s="190">
        <v>1092235</v>
      </c>
      <c r="M12" s="190">
        <v>1102208</v>
      </c>
    </row>
    <row r="13" spans="1:13" ht="12.75">
      <c r="A13">
        <v>1999</v>
      </c>
      <c r="B13" s="190">
        <v>1140969</v>
      </c>
      <c r="C13" s="190">
        <v>1176697</v>
      </c>
      <c r="D13" s="190">
        <v>1293050</v>
      </c>
      <c r="E13" s="190">
        <v>1386524</v>
      </c>
      <c r="F13" s="190">
        <v>1413659</v>
      </c>
      <c r="G13" s="190">
        <v>1423280</v>
      </c>
      <c r="H13" s="190">
        <v>1457622</v>
      </c>
      <c r="I13" s="190">
        <v>1456104</v>
      </c>
      <c r="J13" s="190">
        <v>1472150</v>
      </c>
      <c r="K13" s="190">
        <v>1506420</v>
      </c>
      <c r="L13" s="190">
        <v>1592009</v>
      </c>
      <c r="M13" s="190">
        <v>1694738</v>
      </c>
    </row>
    <row r="14" spans="1:13" ht="12.75">
      <c r="A14">
        <v>2000</v>
      </c>
      <c r="B14" s="190">
        <v>1892060</v>
      </c>
      <c r="C14" s="190">
        <v>2083892</v>
      </c>
      <c r="D14" s="190">
        <v>2301529</v>
      </c>
      <c r="E14" s="190">
        <v>2680053</v>
      </c>
      <c r="F14" s="174">
        <v>112.45</v>
      </c>
      <c r="G14" s="175">
        <v>118.74</v>
      </c>
      <c r="H14" s="175">
        <v>167.93</v>
      </c>
      <c r="I14" s="175">
        <v>169.29</v>
      </c>
      <c r="J14" s="175">
        <v>175.23</v>
      </c>
      <c r="K14" s="175">
        <v>179.07</v>
      </c>
      <c r="L14" s="175">
        <v>181.95</v>
      </c>
      <c r="M14" s="175">
        <v>186.28</v>
      </c>
    </row>
    <row r="15" spans="1:13" ht="12.75">
      <c r="A15">
        <v>2001</v>
      </c>
      <c r="B15" s="175">
        <v>202.49</v>
      </c>
      <c r="C15" s="175">
        <v>210.12</v>
      </c>
      <c r="D15" s="175">
        <v>214.92</v>
      </c>
      <c r="E15" s="176">
        <v>218.84</v>
      </c>
      <c r="F15" s="176">
        <v>218.17</v>
      </c>
      <c r="G15" s="176">
        <v>218.98</v>
      </c>
      <c r="H15" s="176">
        <v>219.35</v>
      </c>
      <c r="I15" s="176">
        <v>221.14</v>
      </c>
      <c r="J15" s="176">
        <v>226.26</v>
      </c>
      <c r="K15" s="176">
        <v>229.2</v>
      </c>
      <c r="L15" s="176">
        <v>235.29</v>
      </c>
      <c r="M15" s="176">
        <v>238.4</v>
      </c>
    </row>
    <row r="16" spans="1:13" ht="12.75">
      <c r="A16">
        <v>2002</v>
      </c>
      <c r="B16" s="176">
        <v>242.91</v>
      </c>
      <c r="C16" s="176">
        <v>245.43</v>
      </c>
      <c r="D16" s="176">
        <v>248.38</v>
      </c>
      <c r="E16" s="176">
        <v>250.99</v>
      </c>
      <c r="F16" s="176">
        <v>252.71</v>
      </c>
      <c r="G16" s="176">
        <v>252.79</v>
      </c>
      <c r="H16" s="176">
        <v>254.63</v>
      </c>
      <c r="I16" s="176">
        <v>256.54</v>
      </c>
      <c r="J16" s="176">
        <v>257.13</v>
      </c>
      <c r="K16" s="176">
        <v>261.59</v>
      </c>
      <c r="L16" s="176">
        <v>266.29</v>
      </c>
      <c r="M16" s="176">
        <v>268.04</v>
      </c>
    </row>
    <row r="17" spans="1:13" ht="12.75">
      <c r="A17">
        <v>2003</v>
      </c>
      <c r="B17" s="176">
        <v>275.86</v>
      </c>
      <c r="C17" s="176">
        <v>253.1</v>
      </c>
      <c r="D17" s="176">
        <v>254.39</v>
      </c>
      <c r="E17" s="176">
        <v>256.61</v>
      </c>
      <c r="F17" s="176">
        <v>257.15</v>
      </c>
      <c r="G17" s="176">
        <v>257.93</v>
      </c>
      <c r="H17" s="176">
        <v>258.58</v>
      </c>
      <c r="I17" s="176">
        <v>260.87</v>
      </c>
      <c r="J17" s="176">
        <v>262.66</v>
      </c>
      <c r="K17" s="176">
        <v>263.78</v>
      </c>
      <c r="L17" s="176">
        <v>264.54</v>
      </c>
      <c r="M17" s="176">
        <v>264.7</v>
      </c>
    </row>
    <row r="18" spans="1:13" ht="12.75">
      <c r="A18">
        <v>2004</v>
      </c>
      <c r="B18" s="176">
        <v>267.2</v>
      </c>
      <c r="C18" s="176">
        <v>269.15</v>
      </c>
      <c r="D18" s="176">
        <v>270.14</v>
      </c>
      <c r="E18" s="177">
        <v>271.71</v>
      </c>
      <c r="F18" s="177">
        <v>271.42</v>
      </c>
      <c r="G18" s="177">
        <v>271.03</v>
      </c>
      <c r="H18" s="177">
        <v>269.42</v>
      </c>
      <c r="I18" s="177">
        <v>269.49</v>
      </c>
      <c r="J18" s="177">
        <v>270.21</v>
      </c>
      <c r="K18" s="177">
        <v>271.16</v>
      </c>
      <c r="L18" s="177">
        <v>272.54</v>
      </c>
      <c r="M18" s="177"/>
    </row>
    <row r="20" ht="12.75">
      <c r="B20" s="173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2007-06-29T19:19:25Z</cp:lastPrinted>
  <dcterms:created xsi:type="dcterms:W3CDTF">1997-11-27T14:15:43Z</dcterms:created>
  <dcterms:modified xsi:type="dcterms:W3CDTF">2014-03-07T22:22:34Z</dcterms:modified>
  <cp:category/>
  <cp:version/>
  <cp:contentType/>
  <cp:contentStatus/>
</cp:coreProperties>
</file>